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dmcclenahan\Documents\DMC\VUU\VUU 2017-18 Budget\"/>
    </mc:Choice>
  </mc:AlternateContent>
  <bookViews>
    <workbookView xWindow="0" yWindow="0" windowWidth="16392" windowHeight="5076"/>
  </bookViews>
  <sheets>
    <sheet name="Budget Worksheet" sheetId="23" r:id="rId1"/>
    <sheet name="Revenue" sheetId="21" r:id="rId2"/>
    <sheet name="Adobe Rent" sheetId="22" state="hidden" r:id="rId3"/>
    <sheet name="Raise Calcs" sheetId="20" state="hidden" r:id="rId4"/>
    <sheet name="New Proposals" sheetId="24" state="hidden" r:id="rId5"/>
    <sheet name="budgetwks (old)" sheetId="2" state="hidden" r:id="rId6"/>
  </sheets>
  <definedNames>
    <definedName name="_xlnm.Print_Area" localSheetId="0">'Budget Worksheet'!$A$1:$P$169</definedName>
    <definedName name="_xlnm.Print_Area" localSheetId="5">'budgetwks (old)'!$A$2:$O$235</definedName>
    <definedName name="_xlnm.Print_Area" localSheetId="1">Revenue!$B$3:$N$39</definedName>
    <definedName name="_xlnm.Print_Titles" localSheetId="0">'Budget Worksheet'!$4:$5</definedName>
    <definedName name="_xlnm.Print_Titles" localSheetId="5">'budgetwks (old)'!$1:$1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1" l="1"/>
  <c r="M58" i="23"/>
  <c r="M59" i="23"/>
  <c r="M86" i="23"/>
  <c r="M104" i="23"/>
  <c r="M120" i="23"/>
  <c r="M118" i="23"/>
  <c r="O118" i="23" s="1"/>
  <c r="M119" i="23"/>
  <c r="P119" i="23" s="1"/>
  <c r="P115" i="23"/>
  <c r="O115" i="23"/>
  <c r="P112" i="23"/>
  <c r="O112" i="23"/>
  <c r="P111" i="23"/>
  <c r="O111" i="23"/>
  <c r="P118" i="23" l="1"/>
  <c r="O119" i="23"/>
  <c r="G12" i="21" l="1"/>
  <c r="M13" i="23" s="1"/>
  <c r="M65" i="23" l="1"/>
  <c r="M76" i="23"/>
  <c r="M105" i="23"/>
  <c r="M156" i="23"/>
  <c r="P155" i="23"/>
  <c r="O155" i="23"/>
  <c r="P154" i="23"/>
  <c r="O154" i="23"/>
  <c r="P153" i="23"/>
  <c r="O153" i="23"/>
  <c r="P152" i="23"/>
  <c r="O152" i="23"/>
  <c r="P151" i="23"/>
  <c r="O151" i="23"/>
  <c r="P148" i="23"/>
  <c r="O148" i="23"/>
  <c r="P147" i="23"/>
  <c r="O147" i="23"/>
  <c r="P146" i="23"/>
  <c r="O146" i="23"/>
  <c r="P145" i="23"/>
  <c r="O145" i="23"/>
  <c r="P144" i="23"/>
  <c r="O144" i="23"/>
  <c r="M113" i="23"/>
  <c r="M116" i="23"/>
  <c r="P103" i="23"/>
  <c r="O103" i="23"/>
  <c r="P102" i="23"/>
  <c r="O102" i="23"/>
  <c r="P101" i="23"/>
  <c r="O101" i="23"/>
  <c r="P100" i="23"/>
  <c r="O100" i="23"/>
  <c r="P99" i="23"/>
  <c r="O99" i="23"/>
  <c r="P98" i="23"/>
  <c r="O98" i="23"/>
  <c r="P75" i="23"/>
  <c r="O75" i="23"/>
  <c r="P74" i="23"/>
  <c r="O74" i="23"/>
  <c r="P73" i="23"/>
  <c r="O73" i="23"/>
  <c r="P72" i="23"/>
  <c r="O72" i="23"/>
  <c r="P71" i="23"/>
  <c r="O71" i="23"/>
  <c r="P70" i="23"/>
  <c r="O70" i="23"/>
  <c r="P69" i="23"/>
  <c r="O69" i="23"/>
  <c r="P68" i="23"/>
  <c r="O68" i="23"/>
  <c r="P67" i="23"/>
  <c r="O67" i="23"/>
  <c r="P64" i="23"/>
  <c r="O64" i="23"/>
  <c r="P63" i="23"/>
  <c r="O63" i="23"/>
  <c r="P62" i="23"/>
  <c r="O62" i="23"/>
  <c r="P57" i="23"/>
  <c r="O57" i="23"/>
  <c r="P56" i="23"/>
  <c r="O56" i="23"/>
  <c r="P55" i="23"/>
  <c r="O55" i="23"/>
  <c r="P54" i="23"/>
  <c r="O54" i="23"/>
  <c r="P52" i="23"/>
  <c r="O52" i="23"/>
  <c r="P51" i="23"/>
  <c r="O51" i="23"/>
  <c r="P50" i="23"/>
  <c r="O50" i="23"/>
  <c r="P49" i="23"/>
  <c r="O49" i="23"/>
  <c r="P48" i="23"/>
  <c r="O48" i="23"/>
  <c r="P47" i="23"/>
  <c r="O47" i="23"/>
  <c r="P46" i="23"/>
  <c r="O46" i="23"/>
  <c r="P44" i="23"/>
  <c r="O44" i="23"/>
  <c r="P43" i="23"/>
  <c r="O43" i="23"/>
  <c r="P42" i="23"/>
  <c r="O42" i="23"/>
  <c r="J13" i="23" l="1"/>
  <c r="D34" i="21" l="1"/>
  <c r="M25" i="23" l="1"/>
  <c r="P25" i="23" s="1"/>
  <c r="O25" i="23" l="1"/>
  <c r="O31" i="23" l="1"/>
  <c r="P31" i="23"/>
  <c r="O167" i="23"/>
  <c r="P167" i="23"/>
  <c r="M39" i="23" l="1"/>
  <c r="O39" i="23" l="1"/>
  <c r="P39" i="23"/>
  <c r="G3" i="24"/>
  <c r="G4" i="24"/>
  <c r="L96" i="23"/>
  <c r="L105" i="23" s="1"/>
  <c r="M12" i="23"/>
  <c r="M16" i="23"/>
  <c r="M17" i="23"/>
  <c r="M18" i="23"/>
  <c r="M19" i="23"/>
  <c r="M20" i="23"/>
  <c r="M21" i="23"/>
  <c r="M24" i="23"/>
  <c r="M26" i="23"/>
  <c r="M29" i="23"/>
  <c r="M30" i="23"/>
  <c r="O30" i="23" s="1"/>
  <c r="M33" i="23"/>
  <c r="M37" i="23" s="1"/>
  <c r="M45" i="23"/>
  <c r="M53" i="23"/>
  <c r="M78" i="23"/>
  <c r="M80" i="23"/>
  <c r="M81" i="23"/>
  <c r="M82" i="23"/>
  <c r="M83" i="23"/>
  <c r="M84" i="23"/>
  <c r="M108" i="23"/>
  <c r="M109" i="23" s="1"/>
  <c r="M125" i="23"/>
  <c r="M129" i="23"/>
  <c r="M130" i="23"/>
  <c r="M132" i="23"/>
  <c r="M133" i="23"/>
  <c r="M134" i="23"/>
  <c r="M136" i="23"/>
  <c r="M138" i="23"/>
  <c r="M139" i="23"/>
  <c r="M162" i="23"/>
  <c r="M164" i="23"/>
  <c r="M165" i="23"/>
  <c r="M9" i="23"/>
  <c r="A3" i="23"/>
  <c r="B3" i="23"/>
  <c r="C3" i="23"/>
  <c r="F168" i="23"/>
  <c r="J163" i="23"/>
  <c r="M163" i="23" s="1"/>
  <c r="J124" i="23"/>
  <c r="J123" i="23"/>
  <c r="M123" i="23" s="1"/>
  <c r="J159" i="23"/>
  <c r="M159" i="23" s="1"/>
  <c r="J158" i="23"/>
  <c r="M158" i="23" s="1"/>
  <c r="J142" i="23"/>
  <c r="J109" i="23"/>
  <c r="J113" i="23"/>
  <c r="J116" i="23"/>
  <c r="J120" i="23"/>
  <c r="J104" i="23"/>
  <c r="J96" i="23"/>
  <c r="J27" i="23"/>
  <c r="M27" i="23" s="1"/>
  <c r="O27" i="23" s="1"/>
  <c r="J22" i="23"/>
  <c r="M22" i="23" s="1"/>
  <c r="H14" i="23"/>
  <c r="H22" i="23"/>
  <c r="J11" i="23"/>
  <c r="M10" i="23"/>
  <c r="G58" i="23"/>
  <c r="G30" i="23"/>
  <c r="G163" i="23"/>
  <c r="G142" i="23"/>
  <c r="G127" i="23"/>
  <c r="G120" i="23"/>
  <c r="G116" i="23"/>
  <c r="G113" i="23"/>
  <c r="G109" i="23"/>
  <c r="G104" i="23"/>
  <c r="H86" i="23"/>
  <c r="H168" i="23" s="1"/>
  <c r="G85" i="23"/>
  <c r="G76" i="23"/>
  <c r="G65" i="23"/>
  <c r="G59" i="23"/>
  <c r="G27" i="23"/>
  <c r="P27" i="23" s="1"/>
  <c r="M160" i="23" l="1"/>
  <c r="M127" i="23"/>
  <c r="M121" i="23"/>
  <c r="M142" i="23"/>
  <c r="O142" i="23" s="1"/>
  <c r="P84" i="23"/>
  <c r="O84" i="23"/>
  <c r="P80" i="23"/>
  <c r="O80" i="23"/>
  <c r="P53" i="23"/>
  <c r="O53" i="23"/>
  <c r="P83" i="23"/>
  <c r="O83" i="23"/>
  <c r="P78" i="23"/>
  <c r="O78" i="23"/>
  <c r="P45" i="23"/>
  <c r="O45" i="23"/>
  <c r="O59" i="23"/>
  <c r="P82" i="23"/>
  <c r="O82" i="23"/>
  <c r="P81" i="23"/>
  <c r="O81" i="23"/>
  <c r="P30" i="23"/>
  <c r="O113" i="23"/>
  <c r="P113" i="23"/>
  <c r="O159" i="23"/>
  <c r="P159" i="23"/>
  <c r="O162" i="23"/>
  <c r="P162" i="23"/>
  <c r="P141" i="23"/>
  <c r="O141" i="23"/>
  <c r="P137" i="23"/>
  <c r="O137" i="23"/>
  <c r="P133" i="23"/>
  <c r="O133" i="23"/>
  <c r="P129" i="23"/>
  <c r="O129" i="23"/>
  <c r="P91" i="23"/>
  <c r="O91" i="23"/>
  <c r="P35" i="23"/>
  <c r="O35" i="23"/>
  <c r="P104" i="23"/>
  <c r="O104" i="23"/>
  <c r="P109" i="23"/>
  <c r="O109" i="23"/>
  <c r="O123" i="23"/>
  <c r="P123" i="23"/>
  <c r="O140" i="23"/>
  <c r="P140" i="23"/>
  <c r="O136" i="23"/>
  <c r="P136" i="23"/>
  <c r="O132" i="23"/>
  <c r="P132" i="23"/>
  <c r="O108" i="23"/>
  <c r="P108" i="23"/>
  <c r="O94" i="23"/>
  <c r="P94" i="23"/>
  <c r="O90" i="23"/>
  <c r="P90" i="23"/>
  <c r="O76" i="23"/>
  <c r="P76" i="23"/>
  <c r="P58" i="23"/>
  <c r="O58" i="23"/>
  <c r="O34" i="23"/>
  <c r="P34" i="23"/>
  <c r="P120" i="23"/>
  <c r="O120" i="23"/>
  <c r="P124" i="23"/>
  <c r="O124" i="23"/>
  <c r="O165" i="23"/>
  <c r="P165" i="23"/>
  <c r="O149" i="23"/>
  <c r="P139" i="23"/>
  <c r="O139" i="23"/>
  <c r="P135" i="23"/>
  <c r="O135" i="23"/>
  <c r="P131" i="23"/>
  <c r="O131" i="23"/>
  <c r="P126" i="23"/>
  <c r="O126" i="23"/>
  <c r="P93" i="23"/>
  <c r="O93" i="23"/>
  <c r="P89" i="23"/>
  <c r="O89" i="23"/>
  <c r="O37" i="23"/>
  <c r="P33" i="23"/>
  <c r="O33" i="23"/>
  <c r="O116" i="23"/>
  <c r="P116" i="23"/>
  <c r="P158" i="23"/>
  <c r="O158" i="23"/>
  <c r="P163" i="23"/>
  <c r="O163" i="23"/>
  <c r="O138" i="23"/>
  <c r="P138" i="23"/>
  <c r="O134" i="23"/>
  <c r="P134" i="23"/>
  <c r="O130" i="23"/>
  <c r="P130" i="23"/>
  <c r="O125" i="23"/>
  <c r="P125" i="23"/>
  <c r="O92" i="23"/>
  <c r="P92" i="23"/>
  <c r="O65" i="23"/>
  <c r="P65" i="23"/>
  <c r="O36" i="23"/>
  <c r="P36" i="23"/>
  <c r="O32" i="23"/>
  <c r="P32" i="23"/>
  <c r="C38" i="21"/>
  <c r="O29" i="23"/>
  <c r="P29" i="23"/>
  <c r="O16" i="23"/>
  <c r="P16" i="23"/>
  <c r="O22" i="23"/>
  <c r="O26" i="23"/>
  <c r="P26" i="23"/>
  <c r="P19" i="23"/>
  <c r="O19" i="23"/>
  <c r="O20" i="23"/>
  <c r="P20" i="23"/>
  <c r="O24" i="23"/>
  <c r="P24" i="23"/>
  <c r="O18" i="23"/>
  <c r="P18" i="23"/>
  <c r="O21" i="23"/>
  <c r="P21" i="23"/>
  <c r="P17" i="23"/>
  <c r="O17" i="23"/>
  <c r="P9" i="23"/>
  <c r="O9" i="23"/>
  <c r="O10" i="23"/>
  <c r="P10" i="23"/>
  <c r="O12" i="23"/>
  <c r="P12" i="23"/>
  <c r="O95" i="23"/>
  <c r="P95" i="23"/>
  <c r="G10" i="24"/>
  <c r="F169" i="23"/>
  <c r="M166" i="23"/>
  <c r="G172" i="23"/>
  <c r="H169" i="23"/>
  <c r="M11" i="23"/>
  <c r="J79" i="23"/>
  <c r="L168" i="23"/>
  <c r="L169" i="23" s="1"/>
  <c r="L3" i="23" s="1"/>
  <c r="E34" i="21"/>
  <c r="D37" i="21"/>
  <c r="D35" i="21"/>
  <c r="D36" i="21" s="1"/>
  <c r="J121" i="23"/>
  <c r="J160" i="23"/>
  <c r="J127" i="23"/>
  <c r="J105" i="23"/>
  <c r="G96" i="23"/>
  <c r="G22" i="23"/>
  <c r="P22" i="23" s="1"/>
  <c r="G121" i="23"/>
  <c r="G149" i="23"/>
  <c r="P149" i="23" s="1"/>
  <c r="G14" i="23"/>
  <c r="G37" i="23"/>
  <c r="P37" i="23" s="1"/>
  <c r="G156" i="23"/>
  <c r="J156" i="23" s="1"/>
  <c r="G160" i="23"/>
  <c r="G86" i="23"/>
  <c r="P142" i="23" l="1"/>
  <c r="P59" i="23"/>
  <c r="O156" i="23"/>
  <c r="P156" i="23"/>
  <c r="O127" i="23"/>
  <c r="P127" i="23"/>
  <c r="P166" i="23"/>
  <c r="O166" i="23"/>
  <c r="O121" i="23"/>
  <c r="P121" i="23"/>
  <c r="O11" i="23"/>
  <c r="P11" i="23"/>
  <c r="P96" i="23"/>
  <c r="O96" i="23"/>
  <c r="F3" i="23"/>
  <c r="H3" i="23"/>
  <c r="M79" i="23"/>
  <c r="M85" i="23" s="1"/>
  <c r="J85" i="23"/>
  <c r="E35" i="21"/>
  <c r="G34" i="21"/>
  <c r="G38" i="23"/>
  <c r="G105" i="23"/>
  <c r="G168" i="23" s="1"/>
  <c r="P79" i="23" l="1"/>
  <c r="O79" i="23"/>
  <c r="P160" i="23"/>
  <c r="O160" i="23"/>
  <c r="O105" i="23"/>
  <c r="P105" i="23"/>
  <c r="J86" i="23"/>
  <c r="E36" i="21"/>
  <c r="G35" i="21"/>
  <c r="O85" i="23" l="1"/>
  <c r="P85" i="23"/>
  <c r="J168" i="23"/>
  <c r="E37" i="21"/>
  <c r="G37" i="21" s="1"/>
  <c r="G36" i="21"/>
  <c r="G169" i="23"/>
  <c r="M168" i="23" l="1"/>
  <c r="O86" i="23"/>
  <c r="P86" i="23"/>
  <c r="G3" i="23"/>
  <c r="G38" i="21"/>
  <c r="O168" i="23" l="1"/>
  <c r="P168" i="23"/>
  <c r="I38" i="21"/>
  <c r="J14" i="23" l="1"/>
  <c r="O13" i="23" l="1"/>
  <c r="P13" i="23"/>
  <c r="J38" i="23"/>
  <c r="M14" i="23"/>
  <c r="O14" i="23" l="1"/>
  <c r="P14" i="23"/>
  <c r="M38" i="23"/>
  <c r="J169" i="23"/>
  <c r="O38" i="23" l="1"/>
  <c r="P38" i="23"/>
  <c r="M169" i="23"/>
  <c r="J3" i="23"/>
  <c r="M3" i="23" l="1"/>
  <c r="O169" i="23"/>
  <c r="P169" i="23"/>
  <c r="L35" i="2"/>
  <c r="L13" i="2" l="1"/>
  <c r="N116" i="2" l="1"/>
  <c r="N110" i="2"/>
  <c r="J11" i="2"/>
  <c r="I11" i="2"/>
  <c r="H11" i="2"/>
  <c r="L11" i="2" s="1"/>
  <c r="N219" i="2" l="1"/>
  <c r="N218" i="2"/>
  <c r="N220" i="2" l="1"/>
  <c r="N36" i="2"/>
  <c r="N35" i="2"/>
  <c r="J34" i="20"/>
  <c r="L223" i="2"/>
  <c r="N34" i="2" l="1"/>
  <c r="N39" i="2" s="1"/>
  <c r="L39" i="2"/>
  <c r="L218" i="2"/>
  <c r="N197" i="2"/>
  <c r="N196" i="2"/>
  <c r="N191" i="2"/>
  <c r="N189" i="2"/>
  <c r="L200" i="2"/>
  <c r="N200" i="2" s="1"/>
  <c r="L199" i="2"/>
  <c r="N199" i="2" s="1"/>
  <c r="L198" i="2"/>
  <c r="N198" i="2" s="1"/>
  <c r="L195" i="2"/>
  <c r="N195" i="2" s="1"/>
  <c r="L194" i="2"/>
  <c r="N194" i="2" s="1"/>
  <c r="L193" i="2"/>
  <c r="N193" i="2" s="1"/>
  <c r="L190" i="2"/>
  <c r="N190" i="2" s="1"/>
  <c r="L188" i="2"/>
  <c r="N188" i="2" s="1"/>
  <c r="L192" i="2"/>
  <c r="N192" i="2" s="1"/>
  <c r="L184" i="2"/>
  <c r="N184" i="2" s="1"/>
  <c r="I40" i="20"/>
  <c r="J40" i="20" s="1"/>
  <c r="J41" i="20" s="1"/>
  <c r="I30" i="20"/>
  <c r="J30" i="20" s="1"/>
  <c r="J31" i="20" s="1"/>
  <c r="I20" i="20"/>
  <c r="I19" i="20"/>
  <c r="I18" i="20"/>
  <c r="I17" i="20"/>
  <c r="I16" i="20"/>
  <c r="I15" i="20"/>
  <c r="I10" i="20"/>
  <c r="I9" i="20"/>
  <c r="I7" i="20"/>
  <c r="I8" i="20"/>
  <c r="I6" i="20"/>
  <c r="G13" i="20"/>
  <c r="G21" i="20"/>
  <c r="G27" i="20"/>
  <c r="H27" i="20" s="1"/>
  <c r="G31" i="20"/>
  <c r="H31" i="20" s="1"/>
  <c r="G34" i="20"/>
  <c r="H34" i="20" s="1"/>
  <c r="G41" i="20"/>
  <c r="H41" i="20" s="1"/>
  <c r="G49" i="20"/>
  <c r="H48" i="20"/>
  <c r="H47" i="20"/>
  <c r="H46" i="20"/>
  <c r="H45" i="20"/>
  <c r="H40" i="20"/>
  <c r="H39" i="20"/>
  <c r="H33" i="20"/>
  <c r="H32" i="20"/>
  <c r="H30" i="20"/>
  <c r="H29" i="20"/>
  <c r="H28" i="20"/>
  <c r="H26" i="20"/>
  <c r="H20" i="20"/>
  <c r="H19" i="20"/>
  <c r="H18" i="20"/>
  <c r="H17" i="20"/>
  <c r="H16" i="20"/>
  <c r="H15" i="20"/>
  <c r="H10" i="20"/>
  <c r="H9" i="20"/>
  <c r="H8" i="20"/>
  <c r="H7" i="20"/>
  <c r="H6" i="20"/>
  <c r="F3" i="22"/>
  <c r="F2" i="22"/>
  <c r="H13" i="20" l="1"/>
  <c r="I13" i="20"/>
  <c r="H21" i="20"/>
  <c r="K13" i="20"/>
  <c r="K21" i="20"/>
  <c r="L21" i="20" s="1"/>
  <c r="I21" i="20"/>
  <c r="I27" i="20"/>
  <c r="N201" i="2"/>
  <c r="L201" i="2"/>
  <c r="G42" i="20"/>
  <c r="H44" i="20" s="1"/>
  <c r="H42" i="20" s="1"/>
  <c r="L66" i="2"/>
  <c r="G13" i="2"/>
  <c r="G12" i="2"/>
  <c r="G11" i="2"/>
  <c r="H22" i="20" l="1"/>
  <c r="I22" i="20" s="1"/>
  <c r="J22" i="20" s="1"/>
  <c r="J21" i="20"/>
  <c r="J27" i="20"/>
  <c r="J42" i="20" s="1"/>
  <c r="J44" i="20" s="1"/>
  <c r="I42" i="20"/>
  <c r="I46" i="20" s="1"/>
  <c r="H49" i="20"/>
  <c r="H23" i="20"/>
  <c r="L136" i="2"/>
  <c r="L135" i="2"/>
  <c r="L134" i="2"/>
  <c r="L133" i="2"/>
  <c r="L132" i="2"/>
  <c r="L130" i="2"/>
  <c r="L131" i="2"/>
  <c r="G22" i="2" l="1"/>
  <c r="G21" i="2"/>
  <c r="G20" i="2"/>
  <c r="H12" i="2"/>
  <c r="L12" i="2" s="1"/>
  <c r="AA24" i="2"/>
  <c r="Z21" i="2"/>
  <c r="X21" i="2"/>
  <c r="W21" i="2"/>
  <c r="V21" i="2"/>
  <c r="Z14" i="2"/>
  <c r="X14" i="2"/>
  <c r="W14" i="2"/>
  <c r="V14" i="2"/>
  <c r="AA13" i="2"/>
  <c r="AB12" i="2"/>
  <c r="AA12" i="2"/>
  <c r="G23" i="2" l="1"/>
  <c r="G14" i="2" s="1"/>
  <c r="V22" i="2"/>
  <c r="Z22" i="2"/>
  <c r="W22" i="2"/>
  <c r="X22" i="2"/>
  <c r="X26" i="2" s="1"/>
  <c r="H19" i="2"/>
  <c r="H22" i="2" s="1"/>
  <c r="I19" i="2" l="1"/>
  <c r="I20" i="2" s="1"/>
  <c r="H20" i="2"/>
  <c r="H21" i="2" s="1"/>
  <c r="K19" i="2" l="1"/>
  <c r="I21" i="2"/>
  <c r="K20" i="2"/>
  <c r="I22" i="2" l="1"/>
  <c r="K22" i="2" s="1"/>
  <c r="K21" i="2"/>
  <c r="K23" i="2" l="1"/>
  <c r="M23" i="2" s="1"/>
  <c r="H14" i="2" l="1"/>
  <c r="L14" i="2" s="1"/>
  <c r="L15" i="2" s="1"/>
  <c r="L60" i="2" s="1"/>
  <c r="N60" i="2" s="1"/>
  <c r="L185" i="2"/>
  <c r="N185" i="2" s="1"/>
  <c r="L183" i="2"/>
  <c r="L182" i="2"/>
  <c r="N87" i="2"/>
  <c r="N75" i="2"/>
  <c r="N68" i="2"/>
  <c r="N56" i="2"/>
  <c r="L58" i="2"/>
  <c r="N58" i="2" s="1"/>
  <c r="L57" i="2"/>
  <c r="N57" i="2" s="1"/>
  <c r="L186" i="2" l="1"/>
  <c r="N182" i="2"/>
  <c r="J227" i="2" l="1"/>
  <c r="J223" i="2"/>
  <c r="J216" i="2"/>
  <c r="L216" i="2" s="1"/>
  <c r="J209" i="2"/>
  <c r="J186" i="2"/>
  <c r="J168" i="2"/>
  <c r="J178" i="2"/>
  <c r="J164" i="2"/>
  <c r="J171" i="2"/>
  <c r="J148" i="2"/>
  <c r="J156" i="2"/>
  <c r="G138" i="2"/>
  <c r="H138" i="2"/>
  <c r="J137" i="2"/>
  <c r="J127" i="2"/>
  <c r="J116" i="2"/>
  <c r="J109" i="2"/>
  <c r="J110" i="2" s="1"/>
  <c r="J69" i="2"/>
  <c r="J138" i="2" l="1"/>
  <c r="J157" i="2"/>
  <c r="N78" i="2"/>
  <c r="L229" i="2" l="1"/>
  <c r="N229" i="2" s="1"/>
  <c r="L226" i="2"/>
  <c r="N226" i="2" s="1"/>
  <c r="N61" i="2" l="1"/>
  <c r="L219" i="2"/>
  <c r="L177" i="2"/>
  <c r="L176" i="2"/>
  <c r="L170" i="2"/>
  <c r="L169" i="2"/>
  <c r="L167" i="2"/>
  <c r="L166" i="2"/>
  <c r="L165" i="2"/>
  <c r="L163" i="2"/>
  <c r="L155" i="2"/>
  <c r="L154" i="2"/>
  <c r="L153" i="2"/>
  <c r="L152" i="2"/>
  <c r="L151" i="2"/>
  <c r="L150" i="2"/>
  <c r="L145" i="2"/>
  <c r="L144" i="2"/>
  <c r="L143" i="2"/>
  <c r="L142" i="2"/>
  <c r="L141" i="2"/>
  <c r="L178" i="2" l="1"/>
  <c r="L148" i="2"/>
  <c r="L220" i="2"/>
  <c r="L72" i="2"/>
  <c r="L67" i="2"/>
  <c r="N67" i="2" s="1"/>
  <c r="N66" i="2"/>
  <c r="L65" i="2"/>
  <c r="N65" i="2" s="1"/>
  <c r="L64" i="2"/>
  <c r="N64" i="2" s="1"/>
  <c r="N69" i="2" l="1"/>
  <c r="N88" i="2" s="1"/>
  <c r="L69" i="2"/>
  <c r="L78" i="2"/>
  <c r="L61" i="2"/>
  <c r="N233" i="2" l="1"/>
  <c r="N28" i="2"/>
  <c r="L88" i="2"/>
  <c r="L233" i="2" l="1"/>
  <c r="L28" i="2"/>
  <c r="H234" i="2" l="1"/>
  <c r="G234" i="2"/>
  <c r="H233" i="2"/>
  <c r="G233" i="2"/>
  <c r="H230" i="2"/>
  <c r="H89" i="2" s="1"/>
  <c r="H90" i="2" s="1"/>
  <c r="G230" i="2"/>
  <c r="G89" i="2" s="1"/>
  <c r="G90" i="2" s="1"/>
  <c r="K227" i="2"/>
  <c r="L227" i="2" s="1"/>
  <c r="N227" i="2" s="1"/>
  <c r="I227" i="2"/>
  <c r="K223" i="2"/>
  <c r="N223" i="2" s="1"/>
  <c r="I223" i="2"/>
  <c r="K220" i="2"/>
  <c r="I220" i="2"/>
  <c r="K216" i="2"/>
  <c r="N216" i="2" s="1"/>
  <c r="I216" i="2"/>
  <c r="K206" i="2"/>
  <c r="K209" i="2" s="1"/>
  <c r="L209" i="2" s="1"/>
  <c r="N209" i="2" s="1"/>
  <c r="I206" i="2"/>
  <c r="I209" i="2" s="1"/>
  <c r="K201" i="2"/>
  <c r="J201" i="2"/>
  <c r="I201" i="2"/>
  <c r="K186" i="2"/>
  <c r="I186" i="2"/>
  <c r="J180" i="2"/>
  <c r="K178" i="2"/>
  <c r="I178" i="2"/>
  <c r="K171" i="2"/>
  <c r="I171" i="2"/>
  <c r="K168" i="2"/>
  <c r="I168" i="2"/>
  <c r="K164" i="2"/>
  <c r="I164" i="2"/>
  <c r="K156" i="2"/>
  <c r="L156" i="2" s="1"/>
  <c r="L157" i="2" s="1"/>
  <c r="I156" i="2"/>
  <c r="K148" i="2"/>
  <c r="I148" i="2"/>
  <c r="K137" i="2"/>
  <c r="I137" i="2"/>
  <c r="K127" i="2"/>
  <c r="L127" i="2" s="1"/>
  <c r="N127" i="2" s="1"/>
  <c r="I127" i="2"/>
  <c r="K116" i="2"/>
  <c r="I116" i="2"/>
  <c r="K109" i="2"/>
  <c r="K110" i="2" s="1"/>
  <c r="I109" i="2"/>
  <c r="I110" i="2" s="1"/>
  <c r="K87" i="2"/>
  <c r="J87" i="2"/>
  <c r="I87" i="2"/>
  <c r="K78" i="2"/>
  <c r="J78" i="2"/>
  <c r="I78" i="2"/>
  <c r="K69" i="2"/>
  <c r="I69" i="2"/>
  <c r="K61" i="2"/>
  <c r="J61" i="2"/>
  <c r="I61" i="2"/>
  <c r="L138" i="2" l="1"/>
  <c r="N138" i="2" s="1"/>
  <c r="J228" i="2"/>
  <c r="J234" i="2" s="1"/>
  <c r="L164" i="2"/>
  <c r="L171" i="2"/>
  <c r="K138" i="2"/>
  <c r="L168" i="2"/>
  <c r="H235" i="2"/>
  <c r="I88" i="2"/>
  <c r="I233" i="2" s="1"/>
  <c r="G235" i="2"/>
  <c r="K88" i="2"/>
  <c r="K233" i="2" s="1"/>
  <c r="J88" i="2"/>
  <c r="J233" i="2" s="1"/>
  <c r="I138" i="2"/>
  <c r="I157" i="2"/>
  <c r="I180" i="2"/>
  <c r="K157" i="2"/>
  <c r="K180" i="2"/>
  <c r="L180" i="2" l="1"/>
  <c r="N180" i="2" s="1"/>
  <c r="J230" i="2"/>
  <c r="J89" i="2" s="1"/>
  <c r="J90" i="2" s="1"/>
  <c r="J235" i="2"/>
  <c r="K228" i="2"/>
  <c r="K234" i="2" s="1"/>
  <c r="K235" i="2" s="1"/>
  <c r="I228" i="2"/>
  <c r="I234" i="2" s="1"/>
  <c r="N183" i="2" l="1"/>
  <c r="N186" i="2" s="1"/>
  <c r="N157" i="2"/>
  <c r="L228" i="2"/>
  <c r="L230" i="2" s="1"/>
  <c r="K230" i="2"/>
  <c r="K89" i="2" s="1"/>
  <c r="K90" i="2" s="1"/>
  <c r="I230" i="2"/>
  <c r="I89" i="2" s="1"/>
  <c r="N228" i="2" l="1"/>
  <c r="N230" i="2" s="1"/>
  <c r="L234" i="2"/>
  <c r="N234" i="2"/>
  <c r="N235" i="2" l="1"/>
  <c r="N89" i="2"/>
  <c r="L235" i="2"/>
  <c r="L89" i="2"/>
  <c r="N90" i="2" l="1"/>
  <c r="N29" i="2"/>
  <c r="N30" i="2" s="1"/>
  <c r="L90" i="2"/>
  <c r="L29" i="2"/>
  <c r="L30" i="2" s="1"/>
</calcChain>
</file>

<file path=xl/comments1.xml><?xml version="1.0" encoding="utf-8"?>
<comments xmlns="http://schemas.openxmlformats.org/spreadsheetml/2006/main">
  <authors>
    <author>Anne</author>
  </authors>
  <commentList>
    <comment ref="Z12" authorId="0" shapeId="0">
      <text>
        <r>
          <rPr>
            <b/>
            <sz val="9"/>
            <color indexed="81"/>
            <rFont val="Tahoma"/>
            <family val="2"/>
          </rPr>
          <t>Anne:</t>
        </r>
        <r>
          <rPr>
            <sz val="9"/>
            <color indexed="81"/>
            <rFont val="Tahoma"/>
            <family val="2"/>
          </rPr>
          <t xml:space="preserve">
this includes some one time contributions made as result of cash flow or other "calls to congregation" to help with revenue 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Anne:</t>
        </r>
        <r>
          <rPr>
            <sz val="9"/>
            <color indexed="81"/>
            <rFont val="Tahoma"/>
            <family val="2"/>
          </rPr>
          <t xml:space="preserve">
average for 15-16 and 16-17 new member HH pledge
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 xml:space="preserve">budget included new members contributions here rather than as pledges until next fiscal year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Anne:</t>
        </r>
        <r>
          <rPr>
            <sz val="9"/>
            <color indexed="81"/>
            <rFont val="Tahoma"/>
            <family val="2"/>
          </rPr>
          <t xml:space="preserve">
budget expected new member pledges to be counted here, rather than as pledges</t>
        </r>
      </text>
    </comment>
    <comment ref="J75" authorId="0" shapeId="0">
      <text>
        <r>
          <rPr>
            <b/>
            <sz val="9"/>
            <color indexed="81"/>
            <rFont val="Tahoma"/>
            <family val="2"/>
          </rPr>
          <t>Anne:</t>
        </r>
        <r>
          <rPr>
            <sz val="9"/>
            <color indexed="81"/>
            <rFont val="Tahoma"/>
            <family val="2"/>
          </rPr>
          <t xml:space="preserve">
not sure of this figure
</t>
        </r>
      </text>
    </comment>
  </commentList>
</comments>
</file>

<file path=xl/sharedStrings.xml><?xml version="1.0" encoding="utf-8"?>
<sst xmlns="http://schemas.openxmlformats.org/spreadsheetml/2006/main" count="732" uniqueCount="443">
  <si>
    <t>Ordinary Income/Expense</t>
  </si>
  <si>
    <t>Income</t>
  </si>
  <si>
    <t>400.00 · Contributions</t>
  </si>
  <si>
    <t>Compassion in Action</t>
  </si>
  <si>
    <t>Contributions - Named</t>
  </si>
  <si>
    <t>Pledges Operating</t>
  </si>
  <si>
    <t>Total 400.00 · Contributions</t>
  </si>
  <si>
    <t>440.00 · Rental Income</t>
  </si>
  <si>
    <t>Adobe School</t>
  </si>
  <si>
    <t>Adobe School 3rd office</t>
  </si>
  <si>
    <t>Adobe Utilities</t>
  </si>
  <si>
    <t>Counselor</t>
  </si>
  <si>
    <t>Nefesh Soul</t>
  </si>
  <si>
    <t>Occasional</t>
  </si>
  <si>
    <t>Total 440.00 · Rental Income</t>
  </si>
  <si>
    <t>450.00 · Income - EVENTS</t>
  </si>
  <si>
    <t>Art  &amp; Cookie Sale</t>
  </si>
  <si>
    <t>Cabaret</t>
  </si>
  <si>
    <t>Cafe</t>
  </si>
  <si>
    <t>Dance Marathon</t>
  </si>
  <si>
    <t>FUUNd Together</t>
  </si>
  <si>
    <t>Miscellaneous Fund Raisers</t>
  </si>
  <si>
    <t>Poinsettia</t>
  </si>
  <si>
    <t>Total 450.00 · Income - EVENTS</t>
  </si>
  <si>
    <t>Total 455.00 · Income - Investments</t>
  </si>
  <si>
    <t>460.00 · Income - Miscellaneous</t>
  </si>
  <si>
    <t>Altar Flowers</t>
  </si>
  <si>
    <t>Food Certs/Grocery</t>
  </si>
  <si>
    <t>Home Hospitality/B&amp;B</t>
  </si>
  <si>
    <t>Hospitality</t>
  </si>
  <si>
    <t>Miscellaneous Other</t>
  </si>
  <si>
    <t>Total 460.00 · Income - Miscellaneous</t>
  </si>
  <si>
    <t>Total Income</t>
  </si>
  <si>
    <t>Expense</t>
  </si>
  <si>
    <t>510.00 · Committees</t>
  </si>
  <si>
    <t>Board</t>
  </si>
  <si>
    <t>Caring &amp; Concerns</t>
  </si>
  <si>
    <t>Expenses - EVENTS</t>
  </si>
  <si>
    <t>Hospitality/Coffee</t>
  </si>
  <si>
    <t>Leadership Council</t>
  </si>
  <si>
    <t>Membership</t>
  </si>
  <si>
    <t>Newsletter</t>
  </si>
  <si>
    <t>Public Relations/Publicity</t>
  </si>
  <si>
    <t>Special Funds</t>
  </si>
  <si>
    <t>Stewardship</t>
  </si>
  <si>
    <t>Worship</t>
  </si>
  <si>
    <t>Worship - Aesthetics</t>
  </si>
  <si>
    <t>Worship - Altar Flowers</t>
  </si>
  <si>
    <t>Worship - Speakers</t>
  </si>
  <si>
    <t>Worship - Supplies/Operations</t>
  </si>
  <si>
    <t>Total Worship</t>
  </si>
  <si>
    <t>Total 510.00 · Committees</t>
  </si>
  <si>
    <t>520.00 · Programs</t>
  </si>
  <si>
    <t>Music</t>
  </si>
  <si>
    <t>Capital Music</t>
  </si>
  <si>
    <t>Special Music</t>
  </si>
  <si>
    <t>Supplies/Operations</t>
  </si>
  <si>
    <t>Total Music</t>
  </si>
  <si>
    <t>Religious Education</t>
  </si>
  <si>
    <t>Adult RE</t>
  </si>
  <si>
    <t>Child Care</t>
  </si>
  <si>
    <t>Curriculum</t>
  </si>
  <si>
    <t>Events/Recognition</t>
  </si>
  <si>
    <t>Professional Expenses</t>
  </si>
  <si>
    <t>Supplies</t>
  </si>
  <si>
    <t>Training</t>
  </si>
  <si>
    <t>Total Religious Education</t>
  </si>
  <si>
    <t>Social Action</t>
  </si>
  <si>
    <t>Contrib to Designated Charities</t>
  </si>
  <si>
    <t>Green Sanctuary</t>
  </si>
  <si>
    <t>UUJAZ</t>
  </si>
  <si>
    <t>Total Social Action</t>
  </si>
  <si>
    <t>Total 520.00 · Programs</t>
  </si>
  <si>
    <t>650 · Ministerial Package</t>
  </si>
  <si>
    <t>650.05 · Senior Minister</t>
  </si>
  <si>
    <t>Minister Disability</t>
  </si>
  <si>
    <t>Minister Housing</t>
  </si>
  <si>
    <t>Minister Pension</t>
  </si>
  <si>
    <t>Minister Professional Expenses</t>
  </si>
  <si>
    <t>Minister Salary/FICA</t>
  </si>
  <si>
    <t>Total 650.05 · Senior Minister</t>
  </si>
  <si>
    <t>650.10 · Minister of Music</t>
  </si>
  <si>
    <t>Minister of Music Disability</t>
  </si>
  <si>
    <t>Minister of Music Housing</t>
  </si>
  <si>
    <t>Minister of Music Medical</t>
  </si>
  <si>
    <t>Minister of Music Salary</t>
  </si>
  <si>
    <t>Total 650.10 · Minister of Music</t>
  </si>
  <si>
    <t>Total 650 · Ministerial Package</t>
  </si>
  <si>
    <t>655.00 · Payroll</t>
  </si>
  <si>
    <t>Accompanist</t>
  </si>
  <si>
    <t>Accompanist Salary</t>
  </si>
  <si>
    <t>Total Accompanist</t>
  </si>
  <si>
    <t>Business Administrator</t>
  </si>
  <si>
    <t>Business Administrator Pension</t>
  </si>
  <si>
    <t>Business Administrator Salary</t>
  </si>
  <si>
    <t>Total Business Administrator</t>
  </si>
  <si>
    <t>Maintenance Tech</t>
  </si>
  <si>
    <t>Maintenance Tech Salary</t>
  </si>
  <si>
    <t>Total Maintenance Tech</t>
  </si>
  <si>
    <t>RE Assistant</t>
  </si>
  <si>
    <t>RE Assistant Salary</t>
  </si>
  <si>
    <t>Total RE Assistant</t>
  </si>
  <si>
    <t>RE Director</t>
  </si>
  <si>
    <t>RE Director Pension</t>
  </si>
  <si>
    <t>RE Director Salary</t>
  </si>
  <si>
    <t>Total RE Director</t>
  </si>
  <si>
    <t>Unallocated payroll</t>
  </si>
  <si>
    <t>Total 655.00 · Payroll</t>
  </si>
  <si>
    <t>656.00 · Payroll Expenses</t>
  </si>
  <si>
    <t>Direct Deposit Fees</t>
  </si>
  <si>
    <t>FICA/Medicare</t>
  </si>
  <si>
    <t>Group Health Insurance</t>
  </si>
  <si>
    <t>Worker's Compensation</t>
  </si>
  <si>
    <t>Total 656.00 · Payroll Expenses</t>
  </si>
  <si>
    <t>710.00 · Administration</t>
  </si>
  <si>
    <t>Accounting &amp; Legal Fees</t>
  </si>
  <si>
    <t>Admin Professional Expenses</t>
  </si>
  <si>
    <t>Administrative Other</t>
  </si>
  <si>
    <t>Bank Fees</t>
  </si>
  <si>
    <t>Copier Lease</t>
  </si>
  <si>
    <t>Custodial Contract</t>
  </si>
  <si>
    <t>Equipment</t>
  </si>
  <si>
    <t>Equipment Repairs &amp; Maintenance</t>
  </si>
  <si>
    <t>Merchant Fees</t>
  </si>
  <si>
    <t>Postage</t>
  </si>
  <si>
    <t>Recognition/Staff &amp; Volunteers</t>
  </si>
  <si>
    <t>Software</t>
  </si>
  <si>
    <t>Supplies (Office)</t>
  </si>
  <si>
    <t>Total 710.00 · Administration</t>
  </si>
  <si>
    <t>730.00 · Property</t>
  </si>
  <si>
    <t>Fire Panel/Monitoring</t>
  </si>
  <si>
    <t>Land Maintenance</t>
  </si>
  <si>
    <t>Major Unexpected Repairs</t>
  </si>
  <si>
    <t>Property Maintenance Supplies</t>
  </si>
  <si>
    <t>Routine Repairs &amp; Maintenance</t>
  </si>
  <si>
    <t>Total 730.00 · Property</t>
  </si>
  <si>
    <t>740.00 · Utilities</t>
  </si>
  <si>
    <t>Electric750- Sanctuary</t>
  </si>
  <si>
    <t>Electric860- Adobe &amp; VUU</t>
  </si>
  <si>
    <t>Phone/Internet</t>
  </si>
  <si>
    <t>Waste Disposal</t>
  </si>
  <si>
    <t>Water26901,91802, 91902, 1401</t>
  </si>
  <si>
    <t>Total 740.00 · Utilities</t>
  </si>
  <si>
    <t>750.00 · UUA &amp; PSWD Dues</t>
  </si>
  <si>
    <t>PSWD Dues</t>
  </si>
  <si>
    <t>UUA Annual Program Fund</t>
  </si>
  <si>
    <t>Total 750.00 · UUA &amp; PSWD Dues</t>
  </si>
  <si>
    <t>760.00 · Insurance</t>
  </si>
  <si>
    <t>Insurance - Prop/Liab/Theft</t>
  </si>
  <si>
    <t>Total 760.00 · Insurance</t>
  </si>
  <si>
    <t>810.00 · Mortgage Interest</t>
  </si>
  <si>
    <t>Bldg Mtg Interest</t>
  </si>
  <si>
    <t>Total 810.00 · Mortgage Interest</t>
  </si>
  <si>
    <t>865 · Mortgage Principal</t>
  </si>
  <si>
    <t>Final totals</t>
  </si>
  <si>
    <t xml:space="preserve">   income</t>
  </si>
  <si>
    <t xml:space="preserve">   expenses (all totals)</t>
  </si>
  <si>
    <t>Net</t>
  </si>
  <si>
    <t>Budget Worksheet for 2017-18 and 2018-19</t>
  </si>
  <si>
    <t>Actual 16</t>
  </si>
  <si>
    <t>Budget 16</t>
  </si>
  <si>
    <t>eoy estm 17</t>
  </si>
  <si>
    <t>budget 17</t>
  </si>
  <si>
    <t>Contributions - Unnamed (cash)</t>
  </si>
  <si>
    <t>Total Expense (without mort)</t>
  </si>
  <si>
    <t xml:space="preserve">Total Total Expenses </t>
  </si>
  <si>
    <t xml:space="preserve"> </t>
  </si>
  <si>
    <t>Total Expenses (incl mort prin)</t>
  </si>
  <si>
    <t>one-time journey + grant</t>
  </si>
  <si>
    <t>bookstore/library</t>
  </si>
  <si>
    <t>actual YTD</t>
  </si>
  <si>
    <t>chalice circles</t>
  </si>
  <si>
    <t>lead teachers</t>
  </si>
  <si>
    <t>az power and light</t>
  </si>
  <si>
    <t>I help</t>
  </si>
  <si>
    <t>racial justice / blm</t>
  </si>
  <si>
    <t>sabbatical costs</t>
  </si>
  <si>
    <t>sabbatical expenses</t>
  </si>
  <si>
    <t>major unexp repairs other</t>
  </si>
  <si>
    <t>Pledges received:</t>
  </si>
  <si>
    <t>pledged 2016 &amp; 17</t>
  </si>
  <si>
    <t>Total pledges received</t>
  </si>
  <si>
    <t>Pledged 2016</t>
  </si>
  <si>
    <t>N=</t>
  </si>
  <si>
    <t>Pledged 2017</t>
  </si>
  <si>
    <t>Gave 2016</t>
  </si>
  <si>
    <t>Avg 17</t>
  </si>
  <si>
    <t>Avg 16</t>
  </si>
  <si>
    <t>New 2017 (contr. In 2016)</t>
  </si>
  <si>
    <t>projection from this year</t>
  </si>
  <si>
    <t>flat</t>
  </si>
  <si>
    <t>Second Service (4-6 mo)</t>
  </si>
  <si>
    <t xml:space="preserve">after mortgage reset </t>
  </si>
  <si>
    <t>18-19</t>
  </si>
  <si>
    <t>new fund raisers</t>
  </si>
  <si>
    <t>estimate (andy)</t>
  </si>
  <si>
    <t>escalator</t>
  </si>
  <si>
    <t>see table below</t>
  </si>
  <si>
    <t>17 18</t>
  </si>
  <si>
    <t>pledge estimates</t>
  </si>
  <si>
    <t>eoy+escalator</t>
  </si>
  <si>
    <t>eoy+escaltor</t>
  </si>
  <si>
    <t>2% increase</t>
  </si>
  <si>
    <t>coll rate</t>
  </si>
  <si>
    <t>NO FIGURES ARE FINAL</t>
  </si>
  <si>
    <t>No Pledges Received 2017</t>
  </si>
  <si>
    <t>moved/dropped/decline</t>
  </si>
  <si>
    <t>Pledged 2016, estimated at 0</t>
  </si>
  <si>
    <t>Not pledged 2016 but donated)</t>
  </si>
  <si>
    <t xml:space="preserve">   Total </t>
  </si>
  <si>
    <t xml:space="preserve">total </t>
  </si>
  <si>
    <t>based on 2016 and 17</t>
  </si>
  <si>
    <t>Pledge 16</t>
  </si>
  <si>
    <t>Gave 16</t>
  </si>
  <si>
    <t>Coll rate</t>
  </si>
  <si>
    <t>Budget 17-18</t>
  </si>
  <si>
    <t>Pledge 17-18</t>
  </si>
  <si>
    <t>April class, HH</t>
  </si>
  <si>
    <t># Months</t>
  </si>
  <si>
    <t>Coll Rate estm</t>
  </si>
  <si>
    <t>tot pledge</t>
  </si>
  <si>
    <t>annual avg</t>
  </si>
  <si>
    <t>mo avg</t>
  </si>
  <si>
    <t>Sept class, HH</t>
  </si>
  <si>
    <t>Jan. class HH</t>
  </si>
  <si>
    <t>No. HH</t>
  </si>
  <si>
    <t>for 15-16 New member HH</t>
  </si>
  <si>
    <t>Group 1.  Gave in 15-16 and 16-17</t>
  </si>
  <si>
    <t>*Group 4 New Member HH 17-18 estm</t>
  </si>
  <si>
    <t>* Estimated</t>
  </si>
  <si>
    <t>*Group 3 "out" and estm for 17-18</t>
  </si>
  <si>
    <t>six of 46 sundays = 13%</t>
  </si>
  <si>
    <t>Salary increase</t>
  </si>
  <si>
    <t>2% raise, if approved</t>
  </si>
  <si>
    <t xml:space="preserve">2% raise, if approved </t>
  </si>
  <si>
    <t>Reserve Fund</t>
  </si>
  <si>
    <t>Estimated for '17</t>
  </si>
  <si>
    <t>total 2016 pledged</t>
  </si>
  <si>
    <t>received from 16 pledges</t>
  </si>
  <si>
    <t>named contributions 2016</t>
  </si>
  <si>
    <t>NEW PROPOSALS</t>
  </si>
  <si>
    <t>17-18</t>
  </si>
  <si>
    <t>Second Service</t>
  </si>
  <si>
    <t>estimated at $3,000 for child care and $2,000 accompanist</t>
  </si>
  <si>
    <t>suggested by….</t>
  </si>
  <si>
    <t>Rev. Andy</t>
  </si>
  <si>
    <t>budget wants considered</t>
  </si>
  <si>
    <t xml:space="preserve">Rev. Andy proposal  </t>
  </si>
  <si>
    <t>2% raise just for staff above 16-17  (not both years)</t>
  </si>
  <si>
    <t>Raises</t>
  </si>
  <si>
    <t>Reserve fund</t>
  </si>
  <si>
    <t>board requested</t>
  </si>
  <si>
    <t>contract</t>
  </si>
  <si>
    <t>estimate</t>
  </si>
  <si>
    <t>Adobe Rent</t>
  </si>
  <si>
    <t>8/1/16 - 7/31/17 = $4900.26/month - $58,803.12/annually</t>
  </si>
  <si>
    <t>8/1/17 - 7/31/18 = $5017.86/month - $60,214.40/annually</t>
  </si>
  <si>
    <t>8/1/18 - 7/31/19 = $5138.29/month - $61,659.54/annually</t>
  </si>
  <si>
    <t>PLUS </t>
  </si>
  <si>
    <t>Operating Cost each month = $1001 (in addition to above rent)</t>
  </si>
  <si>
    <t>Plus</t>
  </si>
  <si>
    <t>rent of two other rooms = an additional office = $210/mo. and use of room 2 = $60/mo.</t>
  </si>
  <si>
    <t>Let me know if you have any further questions.</t>
  </si>
  <si>
    <t>current</t>
  </si>
  <si>
    <t>new</t>
  </si>
  <si>
    <t># mo</t>
  </si>
  <si>
    <t>this year</t>
  </si>
  <si>
    <t>2% raise</t>
  </si>
  <si>
    <t>NEW FUND RAISERS</t>
  </si>
  <si>
    <t>restore 10,000 PER YR to reserves (has declined from $35,000 over 5 years)</t>
  </si>
  <si>
    <t>8871 IF 2% raise</t>
  </si>
  <si>
    <t>as per office</t>
  </si>
  <si>
    <t>on line pledges, etc.</t>
  </si>
  <si>
    <t>budget comm recc</t>
  </si>
  <si>
    <t>moved into merchant fees</t>
  </si>
  <si>
    <t>pswd now $28. members 321</t>
  </si>
  <si>
    <t>fica calc</t>
  </si>
  <si>
    <t>full amt</t>
  </si>
  <si>
    <t>unallocatedpool</t>
  </si>
  <si>
    <t>minister pool</t>
  </si>
  <si>
    <t>unallocated payroll</t>
  </si>
  <si>
    <t>2% raise for ministers above 16-17 base</t>
  </si>
  <si>
    <t>2% raise for ministers and  staff above 16-17 base</t>
  </si>
  <si>
    <t>postponing other requests from facilities</t>
  </si>
  <si>
    <t>uua $60   321 members</t>
  </si>
  <si>
    <t>350 memers@ 60</t>
  </si>
  <si>
    <t>actual YTD (thro jan)</t>
  </si>
  <si>
    <t>just sal</t>
  </si>
  <si>
    <t>full yr</t>
  </si>
  <si>
    <t>3/4 time</t>
  </si>
  <si>
    <t>Date 03.06.2017</t>
  </si>
  <si>
    <t>N=HH</t>
  </si>
  <si>
    <t>Calculation of New Member Pledges during fiscal year 17-18</t>
  </si>
  <si>
    <t xml:space="preserve">SUMMARY </t>
  </si>
  <si>
    <t>CONTINUTATION (BASE) BUDGET</t>
  </si>
  <si>
    <t xml:space="preserve">   </t>
  </si>
  <si>
    <t>Revenue</t>
  </si>
  <si>
    <t>Expenses</t>
  </si>
  <si>
    <t>over/under</t>
  </si>
  <si>
    <t>without new projects</t>
  </si>
  <si>
    <t>no new projects</t>
  </si>
  <si>
    <t>budget subc wants considered</t>
  </si>
  <si>
    <t>each year</t>
  </si>
  <si>
    <t xml:space="preserve">4-6 mo. </t>
  </si>
  <si>
    <t>to be determined</t>
  </si>
  <si>
    <t>eoy estm 17 (Mar 5)</t>
  </si>
  <si>
    <t>revenue escalator</t>
  </si>
  <si>
    <t>eoy + escalator</t>
  </si>
  <si>
    <t>the "overage" includes other funds, and one 10,000 error in pledge</t>
  </si>
  <si>
    <t>DETAILED CONTINUATION (BASE) BUDGET</t>
  </si>
  <si>
    <t>New method for estimating pledges</t>
  </si>
  <si>
    <t>Most Recent pledge report</t>
  </si>
  <si>
    <t>Detailed continuation (base) budget</t>
  </si>
  <si>
    <t>budgetwks (2)'!Q8</t>
  </si>
  <si>
    <t>Summary and New Proposals</t>
  </si>
  <si>
    <t>(see new projects)</t>
  </si>
  <si>
    <t>raise</t>
  </si>
  <si>
    <t>8.3% increase expected</t>
  </si>
  <si>
    <t>see new proposals</t>
  </si>
  <si>
    <t xml:space="preserve">2% if approved </t>
  </si>
  <si>
    <t>add 150 if 2 years</t>
  </si>
  <si>
    <t xml:space="preserve">another 8.3% </t>
  </si>
  <si>
    <t>350 mem @28</t>
  </si>
  <si>
    <t>Salary &amp; benefitsincrease</t>
  </si>
  <si>
    <t xml:space="preserve">2% if appro </t>
  </si>
  <si>
    <t>No pledges</t>
  </si>
  <si>
    <t>pledged 2017</t>
  </si>
  <si>
    <t>pledg 2016</t>
  </si>
  <si>
    <t>gave 2016</t>
  </si>
  <si>
    <t>3.10.17</t>
  </si>
  <si>
    <t>No Numbers are Final.  This is a DRAFT, to be updated as new information received</t>
  </si>
  <si>
    <t>x</t>
  </si>
  <si>
    <t>gave 2017 (2 mo.)</t>
  </si>
  <si>
    <t>included in pledges</t>
  </si>
  <si>
    <t>see calc. above</t>
  </si>
  <si>
    <t>no increase (cap campaign)</t>
  </si>
  <si>
    <t>as of 3/10/17</t>
  </si>
  <si>
    <t xml:space="preserve">QUESTIONS / COMMENTS FROM BUDGET SUB COMMITTEE TO FINANCE / MINISTER </t>
  </si>
  <si>
    <t>1.  Technology / equipment and repair.  Where is this budgeted?  Is there enough?</t>
  </si>
  <si>
    <t xml:space="preserve">2.  Neftesh Sol rental:  are they paying anything for operating costs (use of technology, especially)?  Should they?  </t>
  </si>
  <si>
    <t>3.  Remember that revenue estimates for 17-18 are based on EOY estimates and will change as we update</t>
  </si>
  <si>
    <t>4.  Pledges estimates may change with updates on progress of the 2017 pledge drive that is still on-going (calendar year).</t>
  </si>
  <si>
    <t>Sabbatical fund</t>
  </si>
  <si>
    <t>add $5,000 per year for ministerial sabbaticals reserve fund</t>
  </si>
  <si>
    <t>just one yr not both</t>
  </si>
  <si>
    <t>annual budget FY 17</t>
  </si>
  <si>
    <t>need EOY '17 data</t>
  </si>
  <si>
    <t>just a guess</t>
  </si>
  <si>
    <t>add 5%to EOY estm</t>
  </si>
  <si>
    <t>Sabbatical reserve fund</t>
  </si>
  <si>
    <t>5,000 if approved</t>
  </si>
  <si>
    <t>est. increase</t>
  </si>
  <si>
    <t>Total, 4.17-6.18 New HH</t>
  </si>
  <si>
    <t>DeeAnne's pledge updates… raw data entered here:</t>
  </si>
  <si>
    <t>Group 2  New for 17-18  (HH)</t>
  </si>
  <si>
    <t>all sr. minister catg. would Increase by escalator if raise approved</t>
  </si>
  <si>
    <t>Interest from Savings Account</t>
  </si>
  <si>
    <t>Bookstore/Library</t>
  </si>
  <si>
    <t>Chalice Circles</t>
  </si>
  <si>
    <t>Lead Teachers</t>
  </si>
  <si>
    <t>AZ Power and Light</t>
  </si>
  <si>
    <t>Racial Just / BLM</t>
  </si>
  <si>
    <t>Sabbatical Costs</t>
  </si>
  <si>
    <t>Sabbatical Expenses</t>
  </si>
  <si>
    <t>Total Expense</t>
  </si>
  <si>
    <t>455.00 · Income - Investments</t>
  </si>
  <si>
    <t>Act thru Feb</t>
  </si>
  <si>
    <t>EOY Projec</t>
  </si>
  <si>
    <t>16-17 Budget</t>
  </si>
  <si>
    <t>17-18 Continuation Budget</t>
  </si>
  <si>
    <t>Andy - est</t>
  </si>
  <si>
    <t>current contract per office</t>
  </si>
  <si>
    <t>online pledges</t>
  </si>
  <si>
    <t>per office</t>
  </si>
  <si>
    <t>budget committee rec</t>
  </si>
  <si>
    <t>EOY est. + 5%</t>
  </si>
  <si>
    <t>$28 X 321</t>
  </si>
  <si>
    <t>$60 X 321</t>
  </si>
  <si>
    <t>reduced per current</t>
  </si>
  <si>
    <t>after mortgage recast</t>
  </si>
  <si>
    <t>This yr projected</t>
  </si>
  <si>
    <t>flat budget</t>
  </si>
  <si>
    <t>NET INCOME</t>
  </si>
  <si>
    <t>See revenue tab</t>
  </si>
  <si>
    <t>estimated</t>
  </si>
  <si>
    <t>flat, without sabbatical</t>
  </si>
  <si>
    <t>removed after Andy's resignation</t>
  </si>
  <si>
    <t>Collection</t>
  </si>
  <si>
    <t>Gave</t>
  </si>
  <si>
    <t>YTD =</t>
  </si>
  <si>
    <t>Rate</t>
  </si>
  <si>
    <t>Avg 2017</t>
  </si>
  <si>
    <t>Avg 2016</t>
  </si>
  <si>
    <t>Pledges Received:</t>
  </si>
  <si>
    <t>Pledged 2016 &amp; 17</t>
  </si>
  <si>
    <t>Pledged 16/17</t>
  </si>
  <si>
    <t>New 2017</t>
  </si>
  <si>
    <t>New 17</t>
  </si>
  <si>
    <t>Estimated*</t>
  </si>
  <si>
    <t>Estimated</t>
  </si>
  <si>
    <t>Moved/Dropped/Declined</t>
  </si>
  <si>
    <t>Moved/Dr/Dec</t>
  </si>
  <si>
    <t>Pledged 2016, estimated at zero</t>
  </si>
  <si>
    <t>Est. at zero</t>
  </si>
  <si>
    <t>No 2016 pledge, donated 2016</t>
  </si>
  <si>
    <t>16 Pl 0, gave</t>
  </si>
  <si>
    <t>New Members 2017-2018 Est</t>
  </si>
  <si>
    <t>Total</t>
  </si>
  <si>
    <t>Received from '16 pledges</t>
  </si>
  <si>
    <t>Collection rate</t>
  </si>
  <si>
    <t>2016 Named Contributions (not Pledged)</t>
  </si>
  <si>
    <t>Total 2016 Contributions</t>
  </si>
  <si>
    <t>Incl in pledges</t>
  </si>
  <si>
    <t>New pledges counted as pledges</t>
  </si>
  <si>
    <t>Plate/cash + 2%</t>
  </si>
  <si>
    <t>6 of 46 sundays =13% of plate</t>
  </si>
  <si>
    <t>see adobe rent tab</t>
  </si>
  <si>
    <t>Interim minister relo</t>
  </si>
  <si>
    <t>Settled minsiter search</t>
  </si>
  <si>
    <t>Versus 16-17 Budget</t>
  </si>
  <si>
    <t>Versus16-17 Projected</t>
  </si>
  <si>
    <t>contract (new renter)</t>
  </si>
  <si>
    <t>VALLEY UNITARIAN UNIVERSALIST CONGREGATION</t>
  </si>
  <si>
    <t>Goodwill/rummage fundraiser</t>
  </si>
  <si>
    <t>One Time Journey/Grant</t>
  </si>
  <si>
    <t>2016 Col-</t>
  </si>
  <si>
    <t>lection rate</t>
  </si>
  <si>
    <t>SubTotal, Pledges</t>
  </si>
  <si>
    <t>No Pledge Expected:</t>
  </si>
  <si>
    <t>of 17-18 budget</t>
  </si>
  <si>
    <t>New Mem Est</t>
  </si>
  <si>
    <t>Named contributions</t>
  </si>
  <si>
    <t>Named Contribution</t>
  </si>
  <si>
    <t>Use last yr actual/est</t>
  </si>
  <si>
    <t>Total Pledged</t>
  </si>
  <si>
    <t>Total Contributions - Unnamed (Cash plate)</t>
  </si>
  <si>
    <t>Named Contributions</t>
  </si>
  <si>
    <t>2017 (1/1-5/14)</t>
  </si>
  <si>
    <t>Reserves fund (new)</t>
  </si>
  <si>
    <t>Pledge Update 05.23.2017</t>
  </si>
  <si>
    <t>To balance revenue</t>
  </si>
  <si>
    <t>Adjusted Approved Budget 17-18</t>
  </si>
  <si>
    <t>2017-18 FINAL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</si>
</sst>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#,##0;\-#,##0"/>
    <numFmt numFmtId="166" formatCode="_(&quot;$&quot;* #,##0_);_(&quot;$&quot;* \(#,##0\);_(&quot;$&quot;* &quot;-&quot;??_);_(@_)"/>
    <numFmt numFmtId="167" formatCode="0.0%"/>
    <numFmt numFmtId="168" formatCode="_(* #,##0_);_(* \(#,##0\);_(* &quot;-&quot;??_);_(@_)"/>
    <numFmt numFmtId="169" formatCode="_(&quot;$&quot;* #,##0.0_);_(&quot;$&quot;* \(#,##0.0\);_(&quot;$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006100"/>
      <name val="Calibri"/>
      <family val="2"/>
      <scheme val="minor"/>
    </font>
    <font>
      <b/>
      <i/>
      <sz val="9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222222"/>
      <name val="Verdana"/>
      <family val="2"/>
    </font>
    <font>
      <b/>
      <sz val="10"/>
      <color rgb="FF222222"/>
      <name val="Verdana"/>
      <family val="2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rgb="FF9C000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3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3" xfId="0" applyFill="1" applyBorder="1"/>
    <xf numFmtId="0" fontId="0" fillId="0" borderId="0" xfId="0" applyFill="1" applyBorder="1"/>
    <xf numFmtId="0" fontId="0" fillId="0" borderId="1" xfId="0" applyFill="1" applyBorder="1"/>
    <xf numFmtId="0" fontId="0" fillId="4" borderId="3" xfId="0" applyFill="1" applyBorder="1"/>
    <xf numFmtId="0" fontId="0" fillId="4" borderId="13" xfId="0" applyFill="1" applyBorder="1"/>
    <xf numFmtId="0" fontId="0" fillId="4" borderId="11" xfId="0" applyFill="1" applyBorder="1"/>
    <xf numFmtId="0" fontId="0" fillId="4" borderId="0" xfId="0" applyFill="1" applyBorder="1"/>
    <xf numFmtId="0" fontId="3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0" fillId="4" borderId="14" xfId="0" applyFill="1" applyBorder="1"/>
    <xf numFmtId="166" fontId="7" fillId="4" borderId="0" xfId="3" applyNumberFormat="1" applyFont="1" applyFill="1" applyBorder="1"/>
    <xf numFmtId="166" fontId="7" fillId="4" borderId="8" xfId="3" applyNumberFormat="1" applyFont="1" applyFill="1" applyBorder="1"/>
    <xf numFmtId="166" fontId="7" fillId="4" borderId="14" xfId="3" applyNumberFormat="1" applyFont="1" applyFill="1" applyBorder="1"/>
    <xf numFmtId="44" fontId="0" fillId="0" borderId="0" xfId="0" applyNumberFormat="1"/>
    <xf numFmtId="166" fontId="0" fillId="0" borderId="0" xfId="0" applyNumberFormat="1"/>
    <xf numFmtId="166" fontId="0" fillId="6" borderId="0" xfId="3" applyNumberFormat="1" applyFont="1" applyFill="1" applyBorder="1"/>
    <xf numFmtId="166" fontId="0" fillId="0" borderId="0" xfId="3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49" fontId="13" fillId="3" borderId="10" xfId="0" applyNumberFormat="1" applyFont="1" applyFill="1" applyBorder="1"/>
    <xf numFmtId="49" fontId="13" fillId="3" borderId="3" xfId="0" applyNumberFormat="1" applyFont="1" applyFill="1" applyBorder="1"/>
    <xf numFmtId="49" fontId="13" fillId="3" borderId="11" xfId="0" applyNumberFormat="1" applyFont="1" applyFill="1" applyBorder="1"/>
    <xf numFmtId="49" fontId="13" fillId="3" borderId="0" xfId="0" applyNumberFormat="1" applyFont="1" applyFill="1" applyBorder="1"/>
    <xf numFmtId="49" fontId="13" fillId="3" borderId="12" xfId="0" applyNumberFormat="1" applyFont="1" applyFill="1" applyBorder="1"/>
    <xf numFmtId="49" fontId="13" fillId="3" borderId="1" xfId="0" applyNumberFormat="1" applyFont="1" applyFill="1" applyBorder="1"/>
    <xf numFmtId="49" fontId="13" fillId="3" borderId="1" xfId="0" applyNumberFormat="1" applyFont="1" applyFill="1" applyBorder="1" applyAlignment="1">
      <alignment horizontal="left"/>
    </xf>
    <xf numFmtId="0" fontId="13" fillId="0" borderId="0" xfId="0" applyNumberFormat="1" applyFont="1"/>
    <xf numFmtId="0" fontId="13" fillId="3" borderId="10" xfId="0" applyNumberFormat="1" applyFont="1" applyFill="1" applyBorder="1"/>
    <xf numFmtId="0" fontId="13" fillId="3" borderId="3" xfId="0" applyNumberFormat="1" applyFont="1" applyFill="1" applyBorder="1"/>
    <xf numFmtId="0" fontId="13" fillId="3" borderId="11" xfId="0" applyNumberFormat="1" applyFont="1" applyFill="1" applyBorder="1"/>
    <xf numFmtId="0" fontId="13" fillId="3" borderId="0" xfId="0" applyNumberFormat="1" applyFont="1" applyFill="1" applyBorder="1"/>
    <xf numFmtId="0" fontId="13" fillId="3" borderId="12" xfId="0" applyNumberFormat="1" applyFont="1" applyFill="1" applyBorder="1"/>
    <xf numFmtId="0" fontId="13" fillId="3" borderId="1" xfId="0" applyNumberFormat="1" applyFont="1" applyFill="1" applyBorder="1"/>
    <xf numFmtId="164" fontId="14" fillId="0" borderId="0" xfId="0" applyNumberFormat="1" applyFont="1" applyFill="1" applyBorder="1" applyAlignment="1" applyProtection="1"/>
    <xf numFmtId="0" fontId="5" fillId="0" borderId="0" xfId="0" applyFont="1"/>
    <xf numFmtId="164" fontId="13" fillId="0" borderId="0" xfId="0" applyNumberFormat="1" applyFont="1"/>
    <xf numFmtId="165" fontId="5" fillId="0" borderId="0" xfId="0" applyNumberFormat="1" applyFont="1"/>
    <xf numFmtId="0" fontId="5" fillId="0" borderId="7" xfId="0" applyFont="1" applyBorder="1"/>
    <xf numFmtId="165" fontId="13" fillId="0" borderId="0" xfId="0" applyNumberFormat="1" applyFont="1"/>
    <xf numFmtId="165" fontId="13" fillId="0" borderId="1" xfId="0" applyNumberFormat="1" applyFont="1" applyBorder="1"/>
    <xf numFmtId="165" fontId="5" fillId="0" borderId="8" xfId="0" applyNumberFormat="1" applyFont="1" applyBorder="1"/>
    <xf numFmtId="165" fontId="14" fillId="0" borderId="0" xfId="0" applyNumberFormat="1" applyFont="1" applyFill="1" applyBorder="1" applyAlignment="1" applyProtection="1"/>
    <xf numFmtId="165" fontId="5" fillId="0" borderId="7" xfId="0" applyNumberFormat="1" applyFont="1" applyBorder="1"/>
    <xf numFmtId="165" fontId="14" fillId="0" borderId="1" xfId="0" applyNumberFormat="1" applyFont="1" applyFill="1" applyBorder="1" applyAlignment="1" applyProtection="1"/>
    <xf numFmtId="165" fontId="5" fillId="0" borderId="0" xfId="0" applyNumberFormat="1" applyFont="1" applyAlignment="1">
      <alignment wrapText="1"/>
    </xf>
    <xf numFmtId="165" fontId="13" fillId="0" borderId="0" xfId="0" applyNumberFormat="1" applyFont="1" applyBorder="1"/>
    <xf numFmtId="165" fontId="13" fillId="0" borderId="3" xfId="0" applyNumberFormat="1" applyFont="1" applyBorder="1"/>
    <xf numFmtId="165" fontId="13" fillId="3" borderId="3" xfId="0" applyNumberFormat="1" applyFont="1" applyFill="1" applyBorder="1"/>
    <xf numFmtId="165" fontId="5" fillId="3" borderId="3" xfId="0" applyNumberFormat="1" applyFont="1" applyFill="1" applyBorder="1"/>
    <xf numFmtId="165" fontId="13" fillId="3" borderId="8" xfId="0" applyNumberFormat="1" applyFont="1" applyFill="1" applyBorder="1"/>
    <xf numFmtId="165" fontId="13" fillId="3" borderId="1" xfId="0" applyNumberFormat="1" applyFont="1" applyFill="1" applyBorder="1"/>
    <xf numFmtId="165" fontId="5" fillId="3" borderId="1" xfId="0" applyNumberFormat="1" applyFont="1" applyFill="1" applyBorder="1"/>
    <xf numFmtId="165" fontId="13" fillId="0" borderId="2" xfId="0" applyNumberFormat="1" applyFont="1" applyBorder="1"/>
    <xf numFmtId="165" fontId="14" fillId="0" borderId="2" xfId="0" applyNumberFormat="1" applyFont="1" applyFill="1" applyBorder="1" applyAlignment="1" applyProtection="1"/>
    <xf numFmtId="165" fontId="14" fillId="0" borderId="8" xfId="0" applyNumberFormat="1" applyFont="1" applyFill="1" applyBorder="1" applyAlignment="1" applyProtection="1"/>
    <xf numFmtId="165" fontId="14" fillId="0" borderId="3" xfId="0" applyNumberFormat="1" applyFont="1" applyFill="1" applyBorder="1" applyAlignment="1" applyProtection="1"/>
    <xf numFmtId="165" fontId="15" fillId="2" borderId="4" xfId="2" applyNumberFormat="1" applyFont="1" applyBorder="1"/>
    <xf numFmtId="164" fontId="14" fillId="3" borderId="3" xfId="0" applyNumberFormat="1" applyFont="1" applyFill="1" applyBorder="1" applyAlignment="1" applyProtection="1"/>
    <xf numFmtId="165" fontId="5" fillId="3" borderId="0" xfId="0" applyNumberFormat="1" applyFont="1" applyFill="1" applyBorder="1"/>
    <xf numFmtId="165" fontId="5" fillId="3" borderId="14" xfId="0" applyNumberFormat="1" applyFont="1" applyFill="1" applyBorder="1"/>
    <xf numFmtId="165" fontId="5" fillId="3" borderId="15" xfId="0" applyNumberFormat="1" applyFont="1" applyFill="1" applyBorder="1"/>
    <xf numFmtId="49" fontId="13" fillId="6" borderId="0" xfId="0" applyNumberFormat="1" applyFont="1" applyFill="1"/>
    <xf numFmtId="165" fontId="13" fillId="6" borderId="0" xfId="0" applyNumberFormat="1" applyFont="1" applyFill="1"/>
    <xf numFmtId="165" fontId="14" fillId="6" borderId="0" xfId="0" applyNumberFormat="1" applyFont="1" applyFill="1" applyBorder="1" applyAlignment="1" applyProtection="1"/>
    <xf numFmtId="165" fontId="5" fillId="6" borderId="0" xfId="0" applyNumberFormat="1" applyFont="1" applyFill="1"/>
    <xf numFmtId="0" fontId="5" fillId="6" borderId="0" xfId="0" applyFont="1" applyFill="1" applyBorder="1"/>
    <xf numFmtId="0" fontId="5" fillId="6" borderId="0" xfId="0" applyFont="1" applyFill="1" applyAlignment="1">
      <alignment wrapText="1"/>
    </xf>
    <xf numFmtId="165" fontId="5" fillId="0" borderId="0" xfId="0" applyNumberFormat="1" applyFont="1" applyFill="1" applyBorder="1"/>
    <xf numFmtId="166" fontId="5" fillId="0" borderId="0" xfId="3" applyNumberFormat="1" applyFont="1"/>
    <xf numFmtId="165" fontId="5" fillId="3" borderId="0" xfId="0" applyNumberFormat="1" applyFont="1" applyFill="1"/>
    <xf numFmtId="1" fontId="5" fillId="0" borderId="0" xfId="0" applyNumberFormat="1" applyFont="1"/>
    <xf numFmtId="0" fontId="5" fillId="6" borderId="2" xfId="0" applyFont="1" applyFill="1" applyBorder="1" applyAlignment="1">
      <alignment wrapText="1"/>
    </xf>
    <xf numFmtId="0" fontId="5" fillId="6" borderId="2" xfId="0" applyFont="1" applyFill="1" applyBorder="1"/>
    <xf numFmtId="0" fontId="5" fillId="0" borderId="5" xfId="0" applyFont="1" applyBorder="1" applyAlignment="1">
      <alignment horizontal="right"/>
    </xf>
    <xf numFmtId="0" fontId="0" fillId="6" borderId="11" xfId="0" applyFill="1" applyBorder="1"/>
    <xf numFmtId="0" fontId="0" fillId="6" borderId="0" xfId="0" applyFill="1" applyBorder="1"/>
    <xf numFmtId="0" fontId="0" fillId="6" borderId="14" xfId="0" applyFill="1" applyBorder="1"/>
    <xf numFmtId="0" fontId="0" fillId="6" borderId="1" xfId="0" applyFill="1" applyBorder="1"/>
    <xf numFmtId="0" fontId="5" fillId="7" borderId="2" xfId="0" applyFont="1" applyFill="1" applyBorder="1" applyAlignment="1">
      <alignment wrapText="1"/>
    </xf>
    <xf numFmtId="166" fontId="5" fillId="7" borderId="2" xfId="3" applyNumberFormat="1" applyFont="1" applyFill="1" applyBorder="1"/>
    <xf numFmtId="0" fontId="7" fillId="0" borderId="0" xfId="0" applyFont="1" applyFill="1" applyBorder="1"/>
    <xf numFmtId="0" fontId="0" fillId="0" borderId="11" xfId="0" applyFill="1" applyBorder="1"/>
    <xf numFmtId="166" fontId="0" fillId="0" borderId="0" xfId="0" applyNumberFormat="1" applyFill="1" applyBorder="1"/>
    <xf numFmtId="9" fontId="0" fillId="0" borderId="0" xfId="4" applyFont="1" applyFill="1" applyBorder="1"/>
    <xf numFmtId="167" fontId="0" fillId="0" borderId="0" xfId="4" applyNumberFormat="1" applyFont="1" applyFill="1" applyBorder="1"/>
    <xf numFmtId="166" fontId="5" fillId="6" borderId="0" xfId="0" applyNumberFormat="1" applyFont="1" applyFill="1" applyBorder="1"/>
    <xf numFmtId="9" fontId="5" fillId="6" borderId="0" xfId="4" applyFont="1" applyFill="1" applyBorder="1"/>
    <xf numFmtId="166" fontId="0" fillId="6" borderId="0" xfId="0" applyNumberFormat="1" applyFill="1" applyBorder="1"/>
    <xf numFmtId="168" fontId="5" fillId="6" borderId="0" xfId="1" applyNumberFormat="1" applyFont="1" applyFill="1" applyBorder="1" applyAlignment="1">
      <alignment horizontal="left"/>
    </xf>
    <xf numFmtId="0" fontId="0" fillId="6" borderId="0" xfId="0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44" fontId="0" fillId="6" borderId="0" xfId="0" applyNumberFormat="1" applyFill="1" applyBorder="1"/>
    <xf numFmtId="0" fontId="0" fillId="6" borderId="8" xfId="0" applyFill="1" applyBorder="1"/>
    <xf numFmtId="166" fontId="0" fillId="6" borderId="8" xfId="0" applyNumberFormat="1" applyFill="1" applyBorder="1"/>
    <xf numFmtId="0" fontId="7" fillId="6" borderId="10" xfId="0" applyFont="1" applyFill="1" applyBorder="1"/>
    <xf numFmtId="0" fontId="7" fillId="6" borderId="3" xfId="0" applyFont="1" applyFill="1" applyBorder="1" applyAlignment="1">
      <alignment horizontal="center"/>
    </xf>
    <xf numFmtId="0" fontId="7" fillId="6" borderId="3" xfId="0" applyFont="1" applyFill="1" applyBorder="1"/>
    <xf numFmtId="0" fontId="7" fillId="6" borderId="13" xfId="0" applyFont="1" applyFill="1" applyBorder="1"/>
    <xf numFmtId="0" fontId="7" fillId="6" borderId="11" xfId="0" applyFont="1" applyFill="1" applyBorder="1"/>
    <xf numFmtId="166" fontId="0" fillId="6" borderId="14" xfId="0" applyNumberFormat="1" applyFill="1" applyBorder="1"/>
    <xf numFmtId="0" fontId="5" fillId="6" borderId="11" xfId="0" applyFont="1" applyFill="1" applyBorder="1"/>
    <xf numFmtId="167" fontId="0" fillId="6" borderId="14" xfId="4" applyNumberFormat="1" applyFont="1" applyFill="1" applyBorder="1"/>
    <xf numFmtId="0" fontId="7" fillId="6" borderId="11" xfId="0" applyFont="1" applyFill="1" applyBorder="1" applyAlignment="1">
      <alignment horizontal="right"/>
    </xf>
    <xf numFmtId="0" fontId="5" fillId="6" borderId="14" xfId="0" applyFont="1" applyFill="1" applyBorder="1"/>
    <xf numFmtId="166" fontId="0" fillId="6" borderId="15" xfId="0" applyNumberFormat="1" applyFill="1" applyBorder="1"/>
    <xf numFmtId="165" fontId="5" fillId="0" borderId="0" xfId="0" applyNumberFormat="1" applyFont="1" applyFill="1"/>
    <xf numFmtId="165" fontId="5" fillId="0" borderId="3" xfId="0" applyNumberFormat="1" applyFont="1" applyFill="1" applyBorder="1"/>
    <xf numFmtId="165" fontId="5" fillId="0" borderId="1" xfId="0" applyNumberFormat="1" applyFont="1" applyFill="1" applyBorder="1"/>
    <xf numFmtId="165" fontId="5" fillId="0" borderId="0" xfId="1" applyNumberFormat="1" applyFont="1" applyFill="1"/>
    <xf numFmtId="165" fontId="5" fillId="0" borderId="8" xfId="0" applyNumberFormat="1" applyFont="1" applyFill="1" applyBorder="1"/>
    <xf numFmtId="165" fontId="13" fillId="0" borderId="8" xfId="0" applyNumberFormat="1" applyFont="1" applyFill="1" applyBorder="1"/>
    <xf numFmtId="165" fontId="15" fillId="0" borderId="4" xfId="2" applyNumberFormat="1" applyFont="1" applyFill="1" applyBorder="1"/>
    <xf numFmtId="0" fontId="11" fillId="6" borderId="14" xfId="0" applyFont="1" applyFill="1" applyBorder="1" applyAlignment="1">
      <alignment wrapText="1"/>
    </xf>
    <xf numFmtId="0" fontId="7" fillId="6" borderId="11" xfId="0" applyFont="1" applyFill="1" applyBorder="1" applyAlignment="1">
      <alignment wrapText="1"/>
    </xf>
    <xf numFmtId="49" fontId="13" fillId="5" borderId="5" xfId="0" applyNumberFormat="1" applyFont="1" applyFill="1" applyBorder="1"/>
    <xf numFmtId="49" fontId="13" fillId="5" borderId="2" xfId="0" applyNumberFormat="1" applyFont="1" applyFill="1" applyBorder="1"/>
    <xf numFmtId="165" fontId="13" fillId="5" borderId="2" xfId="0" applyNumberFormat="1" applyFont="1" applyFill="1" applyBorder="1"/>
    <xf numFmtId="165" fontId="14" fillId="5" borderId="2" xfId="0" applyNumberFormat="1" applyFont="1" applyFill="1" applyBorder="1" applyAlignment="1" applyProtection="1"/>
    <xf numFmtId="165" fontId="5" fillId="5" borderId="16" xfId="0" applyNumberFormat="1" applyFont="1" applyFill="1" applyBorder="1"/>
    <xf numFmtId="0" fontId="5" fillId="5" borderId="2" xfId="0" applyFont="1" applyFill="1" applyBorder="1" applyAlignment="1">
      <alignment wrapText="1"/>
    </xf>
    <xf numFmtId="1" fontId="5" fillId="5" borderId="2" xfId="0" applyNumberFormat="1" applyFont="1" applyFill="1" applyBorder="1"/>
    <xf numFmtId="0" fontId="0" fillId="5" borderId="6" xfId="0" applyFill="1" applyBorder="1"/>
    <xf numFmtId="165" fontId="5" fillId="5" borderId="2" xfId="0" applyNumberFormat="1" applyFont="1" applyFill="1" applyBorder="1"/>
    <xf numFmtId="165" fontId="5" fillId="5" borderId="6" xfId="0" applyNumberFormat="1" applyFont="1" applyFill="1" applyBorder="1"/>
    <xf numFmtId="49" fontId="13" fillId="0" borderId="9" xfId="0" applyNumberFormat="1" applyFont="1" applyBorder="1" applyAlignment="1">
      <alignment horizontal="center"/>
    </xf>
    <xf numFmtId="0" fontId="5" fillId="0" borderId="12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168" fontId="16" fillId="0" borderId="0" xfId="0" applyNumberFormat="1" applyFont="1" applyFill="1" applyBorder="1" applyAlignment="1">
      <alignment horizontal="center"/>
    </xf>
    <xf numFmtId="0" fontId="17" fillId="0" borderId="0" xfId="5" applyFill="1" applyBorder="1"/>
    <xf numFmtId="168" fontId="16" fillId="0" borderId="0" xfId="0" applyNumberFormat="1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6" fontId="7" fillId="0" borderId="0" xfId="3" applyNumberFormat="1" applyFont="1" applyFill="1" applyBorder="1"/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165" fontId="0" fillId="0" borderId="0" xfId="0" applyNumberFormat="1" applyFill="1" applyBorder="1"/>
    <xf numFmtId="166" fontId="7" fillId="4" borderId="0" xfId="3" applyNumberFormat="1" applyFont="1" applyFill="1" applyBorder="1" applyAlignment="1">
      <alignment horizontal="center"/>
    </xf>
    <xf numFmtId="0" fontId="3" fillId="4" borderId="0" xfId="0" applyFont="1" applyFill="1" applyBorder="1"/>
    <xf numFmtId="0" fontId="17" fillId="0" borderId="0" xfId="5"/>
    <xf numFmtId="0" fontId="23" fillId="0" borderId="0" xfId="0" applyFont="1"/>
    <xf numFmtId="0" fontId="5" fillId="6" borderId="6" xfId="0" applyFont="1" applyFill="1" applyBorder="1"/>
    <xf numFmtId="0" fontId="5" fillId="0" borderId="7" xfId="0" applyFont="1" applyBorder="1" applyAlignment="1">
      <alignment horizontal="center" wrapText="1"/>
    </xf>
    <xf numFmtId="44" fontId="0" fillId="0" borderId="0" xfId="0" applyNumberFormat="1" applyFill="1" applyBorder="1"/>
    <xf numFmtId="0" fontId="9" fillId="0" borderId="0" xfId="0" applyFont="1" applyFill="1"/>
    <xf numFmtId="0" fontId="7" fillId="0" borderId="0" xfId="0" applyFont="1" applyFill="1" applyBorder="1" applyAlignment="1">
      <alignment horizontal="right"/>
    </xf>
    <xf numFmtId="166" fontId="5" fillId="0" borderId="0" xfId="3" applyNumberFormat="1" applyFont="1" applyFill="1" applyBorder="1"/>
    <xf numFmtId="0" fontId="8" fillId="0" borderId="0" xfId="0" applyFont="1" applyFill="1" applyBorder="1" applyAlignment="1">
      <alignment horizontal="left"/>
    </xf>
    <xf numFmtId="0" fontId="11" fillId="0" borderId="0" xfId="0" applyFont="1"/>
    <xf numFmtId="0" fontId="10" fillId="0" borderId="0" xfId="0" applyFont="1"/>
    <xf numFmtId="49" fontId="18" fillId="0" borderId="0" xfId="0" applyNumberFormat="1" applyFont="1" applyAlignment="1">
      <alignment horizontal="left"/>
    </xf>
    <xf numFmtId="0" fontId="5" fillId="0" borderId="0" xfId="0" applyFont="1" applyBorder="1" applyAlignment="1">
      <alignment wrapText="1"/>
    </xf>
    <xf numFmtId="165" fontId="5" fillId="0" borderId="0" xfId="0" applyNumberFormat="1" applyFont="1" applyBorder="1"/>
    <xf numFmtId="0" fontId="17" fillId="4" borderId="10" xfId="5" quotePrefix="1" applyFill="1" applyBorder="1"/>
    <xf numFmtId="0" fontId="17" fillId="0" borderId="0" xfId="5" applyAlignment="1">
      <alignment horizontal="left"/>
    </xf>
    <xf numFmtId="0" fontId="5" fillId="0" borderId="13" xfId="0" applyFont="1" applyFill="1" applyBorder="1"/>
    <xf numFmtId="0" fontId="5" fillId="0" borderId="14" xfId="0" applyFont="1" applyFill="1" applyBorder="1"/>
    <xf numFmtId="166" fontId="0" fillId="0" borderId="1" xfId="0" applyNumberFormat="1" applyFill="1" applyBorder="1"/>
    <xf numFmtId="0" fontId="5" fillId="0" borderId="15" xfId="0" applyFont="1" applyFill="1" applyBorder="1"/>
    <xf numFmtId="0" fontId="6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18" fillId="0" borderId="10" xfId="0" applyNumberFormat="1" applyFont="1" applyFill="1" applyBorder="1"/>
    <xf numFmtId="0" fontId="5" fillId="0" borderId="3" xfId="0" applyFont="1" applyFill="1" applyBorder="1" applyAlignment="1">
      <alignment wrapText="1"/>
    </xf>
    <xf numFmtId="0" fontId="13" fillId="0" borderId="11" xfId="0" applyNumberFormat="1" applyFont="1" applyFill="1" applyBorder="1"/>
    <xf numFmtId="0" fontId="10" fillId="0" borderId="14" xfId="0" applyFont="1" applyBorder="1"/>
    <xf numFmtId="168" fontId="16" fillId="0" borderId="1" xfId="0" applyNumberFormat="1" applyFont="1" applyFill="1" applyBorder="1"/>
    <xf numFmtId="0" fontId="7" fillId="4" borderId="0" xfId="0" applyFont="1" applyFill="1" applyAlignment="1">
      <alignment horizontal="right" wrapText="1"/>
    </xf>
    <xf numFmtId="0" fontId="5" fillId="4" borderId="0" xfId="0" applyFont="1" applyFill="1" applyBorder="1" applyAlignment="1">
      <alignment horizontal="center" wrapText="1"/>
    </xf>
    <xf numFmtId="0" fontId="5" fillId="7" borderId="0" xfId="0" applyFont="1" applyFill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top" wrapText="1"/>
    </xf>
    <xf numFmtId="165" fontId="13" fillId="3" borderId="0" xfId="0" applyNumberFormat="1" applyFont="1" applyFill="1" applyBorder="1"/>
    <xf numFmtId="165" fontId="14" fillId="5" borderId="0" xfId="0" applyNumberFormat="1" applyFont="1" applyFill="1" applyBorder="1" applyAlignment="1" applyProtection="1"/>
    <xf numFmtId="165" fontId="5" fillId="5" borderId="0" xfId="0" applyNumberFormat="1" applyFont="1" applyFill="1" applyBorder="1"/>
    <xf numFmtId="165" fontId="15" fillId="2" borderId="0" xfId="2" applyNumberFormat="1" applyFont="1" applyBorder="1"/>
    <xf numFmtId="0" fontId="5" fillId="5" borderId="2" xfId="0" applyFont="1" applyFill="1" applyBorder="1" applyAlignment="1"/>
    <xf numFmtId="0" fontId="5" fillId="0" borderId="0" xfId="0" applyFont="1" applyAlignment="1"/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166" fontId="5" fillId="4" borderId="0" xfId="3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9" fontId="16" fillId="0" borderId="0" xfId="4" applyFont="1" applyFill="1" applyBorder="1"/>
    <xf numFmtId="166" fontId="24" fillId="6" borderId="14" xfId="0" applyNumberFormat="1" applyFont="1" applyFill="1" applyBorder="1"/>
    <xf numFmtId="0" fontId="5" fillId="4" borderId="0" xfId="0" applyFont="1" applyFill="1" applyBorder="1"/>
    <xf numFmtId="9" fontId="5" fillId="6" borderId="0" xfId="4" applyNumberFormat="1" applyFont="1" applyFill="1" applyBorder="1"/>
    <xf numFmtId="0" fontId="5" fillId="7" borderId="6" xfId="0" applyFont="1" applyFill="1" applyBorder="1" applyAlignment="1">
      <alignment wrapText="1"/>
    </xf>
    <xf numFmtId="166" fontId="0" fillId="0" borderId="3" xfId="3" applyNumberFormat="1" applyFont="1" applyFill="1" applyBorder="1"/>
    <xf numFmtId="0" fontId="0" fillId="0" borderId="3" xfId="0" applyBorder="1"/>
    <xf numFmtId="0" fontId="0" fillId="0" borderId="1" xfId="0" applyBorder="1"/>
    <xf numFmtId="166" fontId="5" fillId="0" borderId="1" xfId="3" applyNumberFormat="1" applyFont="1" applyFill="1" applyBorder="1"/>
    <xf numFmtId="0" fontId="26" fillId="0" borderId="11" xfId="0" applyNumberFormat="1" applyFont="1" applyFill="1" applyBorder="1"/>
    <xf numFmtId="0" fontId="5" fillId="0" borderId="14" xfId="0" applyFont="1" applyFill="1" applyBorder="1" applyAlignment="1">
      <alignment wrapText="1"/>
    </xf>
    <xf numFmtId="1" fontId="5" fillId="5" borderId="0" xfId="0" applyNumberFormat="1" applyFont="1" applyFill="1" applyBorder="1"/>
    <xf numFmtId="165" fontId="14" fillId="5" borderId="3" xfId="0" applyNumberFormat="1" applyFont="1" applyFill="1" applyBorder="1" applyAlignment="1" applyProtection="1"/>
    <xf numFmtId="0" fontId="3" fillId="8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wrapText="1"/>
    </xf>
    <xf numFmtId="0" fontId="5" fillId="8" borderId="0" xfId="0" applyFont="1" applyFill="1" applyBorder="1"/>
    <xf numFmtId="1" fontId="5" fillId="8" borderId="0" xfId="0" applyNumberFormat="1" applyFont="1" applyFill="1" applyBorder="1"/>
    <xf numFmtId="168" fontId="12" fillId="8" borderId="2" xfId="1" applyNumberFormat="1" applyFont="1" applyFill="1" applyBorder="1"/>
    <xf numFmtId="165" fontId="5" fillId="8" borderId="0" xfId="0" applyNumberFormat="1" applyFont="1" applyFill="1"/>
    <xf numFmtId="165" fontId="5" fillId="8" borderId="0" xfId="0" applyNumberFormat="1" applyFont="1" applyFill="1" applyBorder="1"/>
    <xf numFmtId="165" fontId="14" fillId="8" borderId="0" xfId="0" applyNumberFormat="1" applyFont="1" applyFill="1" applyBorder="1" applyAlignment="1" applyProtection="1"/>
    <xf numFmtId="0" fontId="5" fillId="8" borderId="2" xfId="0" applyFont="1" applyFill="1" applyBorder="1"/>
    <xf numFmtId="165" fontId="5" fillId="8" borderId="3" xfId="0" applyNumberFormat="1" applyFont="1" applyFill="1" applyBorder="1"/>
    <xf numFmtId="165" fontId="5" fillId="8" borderId="14" xfId="0" applyNumberFormat="1" applyFont="1" applyFill="1" applyBorder="1"/>
    <xf numFmtId="165" fontId="13" fillId="8" borderId="1" xfId="0" applyNumberFormat="1" applyFont="1" applyFill="1" applyBorder="1"/>
    <xf numFmtId="165" fontId="14" fillId="8" borderId="2" xfId="0" applyNumberFormat="1" applyFont="1" applyFill="1" applyBorder="1" applyAlignment="1" applyProtection="1"/>
    <xf numFmtId="165" fontId="5" fillId="8" borderId="2" xfId="0" applyNumberFormat="1" applyFont="1" applyFill="1" applyBorder="1"/>
    <xf numFmtId="165" fontId="14" fillId="8" borderId="3" xfId="0" applyNumberFormat="1" applyFont="1" applyFill="1" applyBorder="1" applyAlignment="1" applyProtection="1"/>
    <xf numFmtId="165" fontId="5" fillId="8" borderId="8" xfId="0" applyNumberFormat="1" applyFont="1" applyFill="1" applyBorder="1"/>
    <xf numFmtId="165" fontId="14" fillId="8" borderId="8" xfId="0" applyNumberFormat="1" applyFont="1" applyFill="1" applyBorder="1" applyAlignment="1" applyProtection="1"/>
    <xf numFmtId="165" fontId="15" fillId="8" borderId="4" xfId="2" applyNumberFormat="1" applyFont="1" applyFill="1" applyBorder="1"/>
    <xf numFmtId="0" fontId="5" fillId="8" borderId="8" xfId="0" applyFont="1" applyFill="1" applyBorder="1"/>
    <xf numFmtId="0" fontId="5" fillId="0" borderId="8" xfId="0" applyFont="1" applyBorder="1" applyAlignment="1">
      <alignment wrapText="1"/>
    </xf>
    <xf numFmtId="166" fontId="5" fillId="0" borderId="8" xfId="3" applyNumberFormat="1" applyFont="1" applyBorder="1"/>
    <xf numFmtId="0" fontId="5" fillId="0" borderId="8" xfId="0" applyFont="1" applyBorder="1"/>
    <xf numFmtId="2" fontId="5" fillId="0" borderId="6" xfId="0" applyNumberFormat="1" applyFont="1" applyBorder="1" applyAlignment="1">
      <alignment horizontal="right"/>
    </xf>
    <xf numFmtId="49" fontId="13" fillId="5" borderId="0" xfId="0" applyNumberFormat="1" applyFont="1" applyFill="1" applyBorder="1"/>
    <xf numFmtId="165" fontId="13" fillId="5" borderId="0" xfId="0" applyNumberFormat="1" applyFont="1" applyFill="1" applyBorder="1"/>
    <xf numFmtId="0" fontId="5" fillId="5" borderId="0" xfId="0" applyFont="1" applyFill="1" applyBorder="1" applyAlignment="1"/>
    <xf numFmtId="0" fontId="23" fillId="5" borderId="0" xfId="0" applyFont="1" applyFill="1" applyBorder="1"/>
    <xf numFmtId="49" fontId="13" fillId="5" borderId="3" xfId="0" applyNumberFormat="1" applyFont="1" applyFill="1" applyBorder="1"/>
    <xf numFmtId="165" fontId="13" fillId="5" borderId="3" xfId="0" applyNumberFormat="1" applyFont="1" applyFill="1" applyBorder="1"/>
    <xf numFmtId="0" fontId="5" fillId="5" borderId="3" xfId="0" applyFont="1" applyFill="1" applyBorder="1" applyAlignment="1"/>
    <xf numFmtId="1" fontId="5" fillId="5" borderId="3" xfId="0" applyNumberFormat="1" applyFont="1" applyFill="1" applyBorder="1"/>
    <xf numFmtId="0" fontId="23" fillId="5" borderId="3" xfId="0" applyFont="1" applyFill="1" applyBorder="1"/>
    <xf numFmtId="0" fontId="23" fillId="5" borderId="6" xfId="0" applyFont="1" applyFill="1" applyBorder="1"/>
    <xf numFmtId="0" fontId="5" fillId="0" borderId="3" xfId="0" applyFont="1" applyFill="1" applyBorder="1" applyAlignment="1">
      <alignment horizontal="center"/>
    </xf>
    <xf numFmtId="168" fontId="27" fillId="0" borderId="3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wrapText="1"/>
    </xf>
    <xf numFmtId="0" fontId="5" fillId="3" borderId="13" xfId="0" applyFont="1" applyFill="1" applyBorder="1"/>
    <xf numFmtId="0" fontId="5" fillId="3" borderId="0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6" fontId="7" fillId="6" borderId="3" xfId="0" applyNumberFormat="1" applyFont="1" applyFill="1" applyBorder="1"/>
    <xf numFmtId="166" fontId="0" fillId="6" borderId="1" xfId="3" applyNumberFormat="1" applyFont="1" applyFill="1" applyBorder="1"/>
    <xf numFmtId="0" fontId="0" fillId="4" borderId="10" xfId="0" applyFill="1" applyBorder="1"/>
    <xf numFmtId="16" fontId="3" fillId="4" borderId="11" xfId="0" applyNumberFormat="1" applyFont="1" applyFill="1" applyBorder="1" applyAlignment="1">
      <alignment horizontal="left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right"/>
    </xf>
    <xf numFmtId="166" fontId="0" fillId="0" borderId="1" xfId="3" applyNumberFormat="1" applyFont="1" applyFill="1" applyBorder="1"/>
    <xf numFmtId="166" fontId="3" fillId="4" borderId="0" xfId="0" applyNumberFormat="1" applyFont="1" applyFill="1" applyBorder="1"/>
    <xf numFmtId="169" fontId="3" fillId="4" borderId="0" xfId="3" applyNumberFormat="1" applyFont="1" applyFill="1" applyBorder="1"/>
    <xf numFmtId="0" fontId="7" fillId="4" borderId="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6" fontId="7" fillId="4" borderId="8" xfId="3" applyNumberFormat="1" applyFont="1" applyFill="1" applyBorder="1" applyAlignment="1">
      <alignment horizontal="center"/>
    </xf>
    <xf numFmtId="166" fontId="7" fillId="4" borderId="0" xfId="0" applyNumberFormat="1" applyFont="1" applyFill="1" applyBorder="1"/>
    <xf numFmtId="169" fontId="0" fillId="4" borderId="0" xfId="3" applyNumberFormat="1" applyFont="1" applyFill="1" applyBorder="1"/>
    <xf numFmtId="0" fontId="0" fillId="4" borderId="0" xfId="0" applyFill="1" applyBorder="1" applyAlignment="1">
      <alignment horizontal="center"/>
    </xf>
    <xf numFmtId="166" fontId="0" fillId="4" borderId="0" xfId="3" applyNumberFormat="1" applyFont="1" applyFill="1" applyBorder="1"/>
    <xf numFmtId="0" fontId="7" fillId="4" borderId="12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6" fontId="0" fillId="4" borderId="1" xfId="3" applyNumberFormat="1" applyFont="1" applyFill="1" applyBorder="1"/>
    <xf numFmtId="0" fontId="0" fillId="4" borderId="15" xfId="0" applyFill="1" applyBorder="1"/>
    <xf numFmtId="165" fontId="5" fillId="0" borderId="3" xfId="0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0" fontId="5" fillId="6" borderId="12" xfId="0" applyFont="1" applyFill="1" applyBorder="1" applyAlignment="1">
      <alignment horizontal="right"/>
    </xf>
    <xf numFmtId="165" fontId="5" fillId="7" borderId="0" xfId="0" applyNumberFormat="1" applyFont="1" applyFill="1" applyBorder="1"/>
    <xf numFmtId="0" fontId="11" fillId="0" borderId="3" xfId="0" applyFont="1" applyBorder="1"/>
    <xf numFmtId="0" fontId="11" fillId="0" borderId="13" xfId="0" applyFont="1" applyBorder="1"/>
    <xf numFmtId="166" fontId="5" fillId="0" borderId="3" xfId="3" applyNumberFormat="1" applyFont="1" applyFill="1" applyBorder="1"/>
    <xf numFmtId="166" fontId="5" fillId="0" borderId="8" xfId="3" applyNumberFormat="1" applyFont="1" applyFill="1" applyBorder="1"/>
    <xf numFmtId="166" fontId="5" fillId="7" borderId="1" xfId="3" applyNumberFormat="1" applyFont="1" applyFill="1" applyBorder="1"/>
    <xf numFmtId="166" fontId="5" fillId="0" borderId="1" xfId="0" applyNumberFormat="1" applyFont="1" applyFill="1" applyBorder="1"/>
    <xf numFmtId="49" fontId="1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25" fillId="0" borderId="0" xfId="5" applyFont="1" applyBorder="1"/>
    <xf numFmtId="0" fontId="17" fillId="0" borderId="0" xfId="5" applyBorder="1" applyAlignment="1">
      <alignment horizontal="left"/>
    </xf>
    <xf numFmtId="0" fontId="17" fillId="0" borderId="0" xfId="5" applyBorder="1"/>
    <xf numFmtId="0" fontId="7" fillId="0" borderId="0" xfId="0" applyFont="1" applyBorder="1"/>
    <xf numFmtId="0" fontId="4" fillId="0" borderId="0" xfId="0" applyFont="1" applyBorder="1"/>
    <xf numFmtId="0" fontId="4" fillId="0" borderId="0" xfId="0" applyFont="1"/>
    <xf numFmtId="0" fontId="7" fillId="0" borderId="0" xfId="0" applyFont="1" applyBorder="1" applyAlignment="1">
      <alignment horizontal="center"/>
    </xf>
    <xf numFmtId="9" fontId="0" fillId="6" borderId="1" xfId="4" applyFont="1" applyFill="1" applyBorder="1"/>
    <xf numFmtId="166" fontId="30" fillId="0" borderId="17" xfId="3" applyNumberFormat="1" applyFont="1" applyBorder="1" applyAlignment="1">
      <alignment horizontal="center" wrapText="1"/>
    </xf>
    <xf numFmtId="166" fontId="32" fillId="0" borderId="0" xfId="3" applyNumberFormat="1" applyFont="1"/>
    <xf numFmtId="165" fontId="34" fillId="0" borderId="0" xfId="0" applyNumberFormat="1" applyFont="1" applyFill="1" applyBorder="1" applyAlignment="1" applyProtection="1"/>
    <xf numFmtId="166" fontId="35" fillId="0" borderId="0" xfId="3" applyNumberFormat="1" applyFont="1"/>
    <xf numFmtId="166" fontId="35" fillId="0" borderId="1" xfId="3" applyNumberFormat="1" applyFont="1" applyBorder="1"/>
    <xf numFmtId="166" fontId="35" fillId="0" borderId="0" xfId="3" applyNumberFormat="1" applyFont="1" applyBorder="1"/>
    <xf numFmtId="166" fontId="35" fillId="0" borderId="3" xfId="3" applyNumberFormat="1" applyFont="1" applyBorder="1"/>
    <xf numFmtId="166" fontId="35" fillId="0" borderId="2" xfId="3" applyNumberFormat="1" applyFont="1" applyBorder="1"/>
    <xf numFmtId="166" fontId="34" fillId="0" borderId="0" xfId="3" applyNumberFormat="1" applyFont="1" applyFill="1" applyBorder="1" applyAlignment="1" applyProtection="1"/>
    <xf numFmtId="166" fontId="32" fillId="0" borderId="0" xfId="3" applyNumberFormat="1" applyFont="1" applyFill="1"/>
    <xf numFmtId="0" fontId="3" fillId="9" borderId="18" xfId="0" applyFont="1" applyFill="1" applyBorder="1"/>
    <xf numFmtId="165" fontId="33" fillId="9" borderId="18" xfId="0" applyNumberFormat="1" applyFont="1" applyFill="1" applyBorder="1" applyAlignment="1" applyProtection="1"/>
    <xf numFmtId="165" fontId="33" fillId="9" borderId="19" xfId="0" applyNumberFormat="1" applyFont="1" applyFill="1" applyBorder="1" applyAlignment="1" applyProtection="1"/>
    <xf numFmtId="0" fontId="3" fillId="9" borderId="19" xfId="0" applyFont="1" applyFill="1" applyBorder="1"/>
    <xf numFmtId="0" fontId="6" fillId="0" borderId="21" xfId="0" applyFont="1" applyBorder="1"/>
    <xf numFmtId="0" fontId="3" fillId="0" borderId="3" xfId="0" applyFont="1" applyBorder="1"/>
    <xf numFmtId="166" fontId="0" fillId="0" borderId="3" xfId="3" applyNumberFormat="1" applyFont="1" applyBorder="1"/>
    <xf numFmtId="166" fontId="3" fillId="0" borderId="3" xfId="3" applyNumberFormat="1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3" fillId="0" borderId="1" xfId="0" applyFont="1" applyBorder="1" applyAlignment="1">
      <alignment horizontal="center"/>
    </xf>
    <xf numFmtId="166" fontId="3" fillId="0" borderId="1" xfId="3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8" fontId="3" fillId="0" borderId="11" xfId="0" applyNumberFormat="1" applyFont="1" applyBorder="1"/>
    <xf numFmtId="168" fontId="3" fillId="0" borderId="0" xfId="0" applyNumberFormat="1" applyFont="1" applyBorder="1"/>
    <xf numFmtId="166" fontId="0" fillId="0" borderId="0" xfId="3" applyNumberFormat="1" applyFont="1" applyBorder="1"/>
    <xf numFmtId="0" fontId="0" fillId="0" borderId="14" xfId="0" applyBorder="1"/>
    <xf numFmtId="0" fontId="0" fillId="0" borderId="11" xfId="0" applyBorder="1"/>
    <xf numFmtId="9" fontId="0" fillId="0" borderId="0" xfId="4" applyFont="1" applyBorder="1"/>
    <xf numFmtId="166" fontId="0" fillId="0" borderId="0" xfId="0" applyNumberFormat="1" applyBorder="1"/>
    <xf numFmtId="166" fontId="0" fillId="0" borderId="14" xfId="0" applyNumberFormat="1" applyBorder="1"/>
    <xf numFmtId="0" fontId="0" fillId="0" borderId="8" xfId="0" applyBorder="1"/>
    <xf numFmtId="166" fontId="0" fillId="0" borderId="8" xfId="3" applyNumberFormat="1" applyFont="1" applyBorder="1"/>
    <xf numFmtId="9" fontId="0" fillId="0" borderId="8" xfId="4" applyFont="1" applyBorder="1"/>
    <xf numFmtId="166" fontId="0" fillId="0" borderId="14" xfId="3" applyNumberFormat="1" applyFont="1" applyFill="1" applyBorder="1"/>
    <xf numFmtId="44" fontId="0" fillId="0" borderId="0" xfId="3" applyNumberFormat="1" applyFont="1" applyBorder="1"/>
    <xf numFmtId="0" fontId="3" fillId="0" borderId="11" xfId="0" applyFont="1" applyBorder="1"/>
    <xf numFmtId="0" fontId="3" fillId="0" borderId="22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0" xfId="0" applyFont="1" applyBorder="1"/>
    <xf numFmtId="166" fontId="3" fillId="0" borderId="20" xfId="3" applyNumberFormat="1" applyFont="1" applyBorder="1"/>
    <xf numFmtId="9" fontId="3" fillId="0" borderId="20" xfId="4" applyFont="1" applyBorder="1"/>
    <xf numFmtId="0" fontId="0" fillId="0" borderId="20" xfId="0" applyBorder="1"/>
    <xf numFmtId="0" fontId="0" fillId="0" borderId="23" xfId="0" applyBorder="1"/>
    <xf numFmtId="0" fontId="0" fillId="0" borderId="10" xfId="0" applyBorder="1"/>
    <xf numFmtId="9" fontId="0" fillId="0" borderId="3" xfId="4" applyFont="1" applyBorder="1"/>
    <xf numFmtId="167" fontId="0" fillId="0" borderId="0" xfId="4" applyNumberFormat="1" applyFont="1" applyBorder="1"/>
    <xf numFmtId="166" fontId="0" fillId="0" borderId="1" xfId="3" applyNumberFormat="1" applyFont="1" applyBorder="1"/>
    <xf numFmtId="166" fontId="0" fillId="0" borderId="1" xfId="0" applyNumberFormat="1" applyBorder="1"/>
    <xf numFmtId="166" fontId="0" fillId="0" borderId="15" xfId="3" applyNumberFormat="1" applyFont="1" applyBorder="1"/>
    <xf numFmtId="0" fontId="0" fillId="11" borderId="0" xfId="0" applyFill="1"/>
    <xf numFmtId="0" fontId="0" fillId="11" borderId="0" xfId="0" applyFill="1" applyBorder="1"/>
    <xf numFmtId="166" fontId="33" fillId="10" borderId="18" xfId="3" applyNumberFormat="1" applyFont="1" applyFill="1" applyBorder="1" applyAlignment="1" applyProtection="1"/>
    <xf numFmtId="0" fontId="3" fillId="10" borderId="18" xfId="0" applyFont="1" applyFill="1" applyBorder="1"/>
    <xf numFmtId="0" fontId="3" fillId="10" borderId="19" xfId="0" applyFont="1" applyFill="1" applyBorder="1"/>
    <xf numFmtId="0" fontId="28" fillId="11" borderId="0" xfId="0" applyNumberFormat="1" applyFont="1" applyFill="1"/>
    <xf numFmtId="166" fontId="32" fillId="11" borderId="0" xfId="3" applyNumberFormat="1" applyFont="1" applyFill="1"/>
    <xf numFmtId="0" fontId="32" fillId="11" borderId="0" xfId="0" applyFont="1" applyFill="1"/>
    <xf numFmtId="0" fontId="37" fillId="0" borderId="0" xfId="0" applyFont="1"/>
    <xf numFmtId="0" fontId="37" fillId="0" borderId="0" xfId="0" applyFont="1" applyAlignment="1">
      <alignment wrapText="1"/>
    </xf>
    <xf numFmtId="0" fontId="37" fillId="0" borderId="0" xfId="0" applyFont="1" applyBorder="1" applyAlignment="1">
      <alignment wrapText="1"/>
    </xf>
    <xf numFmtId="0" fontId="38" fillId="10" borderId="18" xfId="0" applyFont="1" applyFill="1" applyBorder="1"/>
    <xf numFmtId="44" fontId="37" fillId="0" borderId="0" xfId="0" applyNumberFormat="1" applyFont="1"/>
    <xf numFmtId="0" fontId="38" fillId="9" borderId="18" xfId="0" applyFont="1" applyFill="1" applyBorder="1"/>
    <xf numFmtId="0" fontId="38" fillId="9" borderId="19" xfId="0" applyFont="1" applyFill="1" applyBorder="1"/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8" xfId="3" applyNumberFormat="1" applyFont="1" applyFill="1" applyBorder="1"/>
    <xf numFmtId="0" fontId="3" fillId="0" borderId="11" xfId="0" applyFont="1" applyBorder="1" applyAlignment="1">
      <alignment horizontal="right"/>
    </xf>
    <xf numFmtId="168" fontId="0" fillId="0" borderId="0" xfId="1" applyNumberFormat="1" applyFont="1" applyBorder="1"/>
    <xf numFmtId="167" fontId="0" fillId="0" borderId="0" xfId="3" applyNumberFormat="1" applyFont="1" applyFill="1" applyBorder="1"/>
    <xf numFmtId="167" fontId="0" fillId="0" borderId="8" xfId="4" applyNumberFormat="1" applyFont="1" applyFill="1" applyBorder="1"/>
    <xf numFmtId="167" fontId="0" fillId="0" borderId="0" xfId="0" applyNumberFormat="1" applyBorder="1"/>
    <xf numFmtId="167" fontId="0" fillId="0" borderId="0" xfId="0" applyNumberFormat="1" applyFill="1" applyBorder="1"/>
    <xf numFmtId="167" fontId="0" fillId="0" borderId="3" xfId="0" applyNumberFormat="1" applyBorder="1"/>
    <xf numFmtId="166" fontId="35" fillId="0" borderId="0" xfId="3" applyNumberFormat="1" applyFont="1" applyFill="1"/>
    <xf numFmtId="0" fontId="37" fillId="0" borderId="0" xfId="0" applyFont="1" applyFill="1"/>
    <xf numFmtId="166" fontId="39" fillId="0" borderId="0" xfId="3" applyNumberFormat="1" applyFont="1" applyBorder="1"/>
    <xf numFmtId="166" fontId="39" fillId="0" borderId="1" xfId="3" applyNumberFormat="1" applyFont="1" applyBorder="1"/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167" fontId="0" fillId="6" borderId="13" xfId="4" applyNumberFormat="1" applyFont="1" applyFill="1" applyBorder="1"/>
    <xf numFmtId="166" fontId="40" fillId="10" borderId="19" xfId="3" applyNumberFormat="1" applyFont="1" applyFill="1" applyBorder="1"/>
    <xf numFmtId="0" fontId="40" fillId="10" borderId="19" xfId="0" applyFont="1" applyFill="1" applyBorder="1"/>
    <xf numFmtId="166" fontId="32" fillId="10" borderId="0" xfId="3" applyNumberFormat="1" applyFont="1" applyFill="1"/>
    <xf numFmtId="166" fontId="35" fillId="10" borderId="0" xfId="3" applyNumberFormat="1" applyFont="1" applyFill="1"/>
    <xf numFmtId="166" fontId="35" fillId="10" borderId="1" xfId="3" applyNumberFormat="1" applyFont="1" applyFill="1" applyBorder="1"/>
    <xf numFmtId="166" fontId="34" fillId="10" borderId="0" xfId="3" applyNumberFormat="1" applyFont="1" applyFill="1" applyBorder="1" applyAlignment="1" applyProtection="1"/>
    <xf numFmtId="166" fontId="35" fillId="10" borderId="0" xfId="3" applyNumberFormat="1" applyFont="1" applyFill="1" applyBorder="1"/>
    <xf numFmtId="166" fontId="35" fillId="10" borderId="3" xfId="3" applyNumberFormat="1" applyFont="1" applyFill="1" applyBorder="1"/>
    <xf numFmtId="166" fontId="33" fillId="10" borderId="0" xfId="3" applyNumberFormat="1" applyFont="1" applyFill="1" applyBorder="1" applyAlignment="1" applyProtection="1"/>
    <xf numFmtId="166" fontId="35" fillId="10" borderId="2" xfId="3" applyNumberFormat="1" applyFont="1" applyFill="1" applyBorder="1"/>
    <xf numFmtId="165" fontId="34" fillId="10" borderId="0" xfId="0" applyNumberFormat="1" applyFont="1" applyFill="1" applyBorder="1" applyAlignment="1" applyProtection="1"/>
    <xf numFmtId="165" fontId="33" fillId="10" borderId="18" xfId="0" applyNumberFormat="1" applyFont="1" applyFill="1" applyBorder="1" applyAlignment="1" applyProtection="1"/>
    <xf numFmtId="165" fontId="33" fillId="10" borderId="19" xfId="0" applyNumberFormat="1" applyFont="1" applyFill="1" applyBorder="1" applyAlignment="1" applyProtection="1"/>
    <xf numFmtId="49" fontId="29" fillId="11" borderId="0" xfId="0" applyNumberFormat="1" applyFont="1" applyFill="1" applyBorder="1" applyAlignment="1" applyProtection="1"/>
    <xf numFmtId="0" fontId="3" fillId="11" borderId="0" xfId="0" applyFont="1" applyFill="1" applyBorder="1"/>
    <xf numFmtId="166" fontId="33" fillId="11" borderId="0" xfId="3" applyNumberFormat="1" applyFont="1" applyFill="1" applyBorder="1" applyAlignment="1" applyProtection="1"/>
    <xf numFmtId="166" fontId="30" fillId="11" borderId="0" xfId="3" applyNumberFormat="1" applyFont="1" applyFill="1" applyBorder="1"/>
    <xf numFmtId="39" fontId="31" fillId="11" borderId="0" xfId="0" applyNumberFormat="1" applyFont="1" applyFill="1" applyBorder="1"/>
    <xf numFmtId="166" fontId="33" fillId="0" borderId="0" xfId="3" applyNumberFormat="1" applyFont="1" applyFill="1" applyBorder="1" applyAlignment="1" applyProtection="1"/>
    <xf numFmtId="0" fontId="38" fillId="0" borderId="0" xfId="0" applyFont="1" applyFill="1" applyBorder="1"/>
    <xf numFmtId="167" fontId="3" fillId="12" borderId="1" xfId="4" applyNumberFormat="1" applyFont="1" applyFill="1" applyBorder="1"/>
    <xf numFmtId="166" fontId="0" fillId="0" borderId="0" xfId="0" applyNumberFormat="1" applyBorder="1" applyAlignment="1">
      <alignment horizontal="left"/>
    </xf>
    <xf numFmtId="44" fontId="0" fillId="0" borderId="14" xfId="3" applyFont="1" applyBorder="1"/>
    <xf numFmtId="167" fontId="3" fillId="12" borderId="20" xfId="4" applyNumberFormat="1" applyFont="1" applyFill="1" applyBorder="1"/>
    <xf numFmtId="0" fontId="0" fillId="0" borderId="0" xfId="3" applyNumberFormat="1" applyFont="1" applyBorder="1"/>
    <xf numFmtId="166" fontId="0" fillId="0" borderId="0" xfId="3" applyNumberFormat="1" applyFont="1"/>
    <xf numFmtId="166" fontId="31" fillId="11" borderId="19" xfId="3" applyNumberFormat="1" applyFont="1" applyFill="1" applyBorder="1"/>
    <xf numFmtId="0" fontId="32" fillId="11" borderId="0" xfId="0" applyFont="1" applyFill="1" applyAlignment="1">
      <alignment horizontal="center"/>
    </xf>
    <xf numFmtId="166" fontId="30" fillId="11" borderId="17" xfId="3" applyNumberFormat="1" applyFont="1" applyFill="1" applyBorder="1" applyAlignment="1">
      <alignment horizontal="center" wrapText="1"/>
    </xf>
    <xf numFmtId="166" fontId="35" fillId="11" borderId="0" xfId="3" applyNumberFormat="1" applyFont="1" applyFill="1"/>
    <xf numFmtId="39" fontId="32" fillId="11" borderId="0" xfId="0" applyNumberFormat="1" applyFont="1" applyFill="1"/>
    <xf numFmtId="166" fontId="35" fillId="11" borderId="1" xfId="3" applyNumberFormat="1" applyFont="1" applyFill="1" applyBorder="1"/>
    <xf numFmtId="166" fontId="34" fillId="11" borderId="0" xfId="3" applyNumberFormat="1" applyFont="1" applyFill="1" applyBorder="1" applyAlignment="1" applyProtection="1"/>
    <xf numFmtId="166" fontId="35" fillId="11" borderId="0" xfId="3" applyNumberFormat="1" applyFont="1" applyFill="1" applyBorder="1"/>
    <xf numFmtId="166" fontId="35" fillId="11" borderId="3" xfId="3" applyNumberFormat="1" applyFont="1" applyFill="1" applyBorder="1"/>
    <xf numFmtId="39" fontId="31" fillId="11" borderId="18" xfId="0" applyNumberFormat="1" applyFont="1" applyFill="1" applyBorder="1"/>
    <xf numFmtId="166" fontId="33" fillId="11" borderId="18" xfId="3" applyNumberFormat="1" applyFont="1" applyFill="1" applyBorder="1" applyAlignment="1" applyProtection="1"/>
    <xf numFmtId="166" fontId="35" fillId="11" borderId="2" xfId="3" applyNumberFormat="1" applyFont="1" applyFill="1" applyBorder="1"/>
    <xf numFmtId="165" fontId="34" fillId="11" borderId="0" xfId="0" applyNumberFormat="1" applyFont="1" applyFill="1" applyBorder="1" applyAlignment="1" applyProtection="1"/>
    <xf numFmtId="165" fontId="33" fillId="11" borderId="18" xfId="0" applyNumberFormat="1" applyFont="1" applyFill="1" applyBorder="1" applyAlignment="1" applyProtection="1"/>
    <xf numFmtId="39" fontId="31" fillId="11" borderId="19" xfId="0" applyNumberFormat="1" applyFont="1" applyFill="1" applyBorder="1"/>
    <xf numFmtId="165" fontId="33" fillId="11" borderId="19" xfId="0" applyNumberFormat="1" applyFont="1" applyFill="1" applyBorder="1" applyAlignment="1" applyProtection="1"/>
    <xf numFmtId="49" fontId="29" fillId="11" borderId="0" xfId="0" applyNumberFormat="1" applyFont="1" applyFill="1" applyBorder="1" applyAlignment="1" applyProtection="1">
      <alignment horizontal="center"/>
    </xf>
    <xf numFmtId="166" fontId="33" fillId="11" borderId="17" xfId="3" applyNumberFormat="1" applyFont="1" applyFill="1" applyBorder="1" applyAlignment="1" applyProtection="1">
      <alignment horizontal="center"/>
    </xf>
    <xf numFmtId="166" fontId="30" fillId="11" borderId="17" xfId="3" applyNumberFormat="1" applyFont="1" applyFill="1" applyBorder="1" applyAlignment="1">
      <alignment horizontal="center"/>
    </xf>
    <xf numFmtId="166" fontId="34" fillId="11" borderId="1" xfId="3" applyNumberFormat="1" applyFont="1" applyFill="1" applyBorder="1" applyAlignment="1" applyProtection="1"/>
    <xf numFmtId="166" fontId="34" fillId="11" borderId="3" xfId="3" applyNumberFormat="1" applyFont="1" applyFill="1" applyBorder="1" applyAlignment="1" applyProtection="1"/>
    <xf numFmtId="49" fontId="29" fillId="11" borderId="18" xfId="0" applyNumberFormat="1" applyFont="1" applyFill="1" applyBorder="1" applyAlignment="1" applyProtection="1"/>
    <xf numFmtId="166" fontId="30" fillId="11" borderId="18" xfId="3" applyNumberFormat="1" applyFont="1" applyFill="1" applyBorder="1"/>
    <xf numFmtId="166" fontId="34" fillId="11" borderId="2" xfId="3" applyNumberFormat="1" applyFont="1" applyFill="1" applyBorder="1" applyAlignment="1" applyProtection="1"/>
    <xf numFmtId="166" fontId="36" fillId="11" borderId="0" xfId="3" applyNumberFormat="1" applyFont="1" applyFill="1" applyBorder="1" applyAlignment="1" applyProtection="1"/>
    <xf numFmtId="49" fontId="29" fillId="11" borderId="19" xfId="0" applyNumberFormat="1" applyFont="1" applyFill="1" applyBorder="1" applyAlignment="1" applyProtection="1"/>
    <xf numFmtId="166" fontId="33" fillId="11" borderId="19" xfId="3" applyNumberFormat="1" applyFont="1" applyFill="1" applyBorder="1" applyAlignment="1" applyProtection="1"/>
    <xf numFmtId="166" fontId="31" fillId="11" borderId="19" xfId="3" applyNumberFormat="1" applyFont="1" applyFill="1" applyBorder="1" applyAlignment="1">
      <alignment horizontal="center"/>
    </xf>
    <xf numFmtId="166" fontId="30" fillId="9" borderId="17" xfId="3" applyNumberFormat="1" applyFont="1" applyFill="1" applyBorder="1" applyAlignment="1">
      <alignment horizontal="center" wrapText="1"/>
    </xf>
    <xf numFmtId="0" fontId="28" fillId="11" borderId="0" xfId="0" applyNumberFormat="1" applyFont="1" applyFill="1" applyAlignment="1">
      <alignment horizontal="center"/>
    </xf>
    <xf numFmtId="0" fontId="28" fillId="11" borderId="8" xfId="0" applyNumberFormat="1" applyFont="1" applyFill="1" applyBorder="1" applyAlignment="1">
      <alignment horizontal="center"/>
    </xf>
    <xf numFmtId="166" fontId="35" fillId="3" borderId="0" xfId="3" applyNumberFormat="1" applyFont="1" applyFill="1"/>
    <xf numFmtId="166" fontId="35" fillId="3" borderId="0" xfId="3" applyNumberFormat="1" applyFont="1" applyFill="1" applyBorder="1"/>
    <xf numFmtId="166" fontId="35" fillId="3" borderId="2" xfId="3" applyNumberFormat="1" applyFont="1" applyFill="1" applyBorder="1"/>
    <xf numFmtId="166" fontId="34" fillId="3" borderId="0" xfId="3" applyNumberFormat="1" applyFont="1" applyFill="1" applyBorder="1" applyAlignment="1" applyProtection="1"/>
    <xf numFmtId="166" fontId="35" fillId="3" borderId="1" xfId="3" applyNumberFormat="1" applyFont="1" applyFill="1" applyBorder="1"/>
    <xf numFmtId="166" fontId="0" fillId="3" borderId="0" xfId="3" applyNumberFormat="1" applyFont="1" applyFill="1" applyBorder="1"/>
    <xf numFmtId="166" fontId="0" fillId="11" borderId="0" xfId="0" applyNumberFormat="1" applyFill="1" applyBorder="1"/>
    <xf numFmtId="44" fontId="0" fillId="11" borderId="0" xfId="0" applyNumberFormat="1" applyFill="1" applyBorder="1"/>
  </cellXfs>
  <cellStyles count="6">
    <cellStyle name="Comma" xfId="1" builtinId="3"/>
    <cellStyle name="Currency" xfId="3" builtinId="4"/>
    <cellStyle name="Good" xfId="2" builtinId="26"/>
    <cellStyle name="Hyperlink" xfId="5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75"/>
  <sheetViews>
    <sheetView tabSelected="1" workbookViewId="0">
      <selection activeCell="E13" sqref="E13"/>
    </sheetView>
  </sheetViews>
  <sheetFormatPr defaultRowHeight="13.8" customHeight="1" x14ac:dyDescent="0.3"/>
  <cols>
    <col min="1" max="4" width="1.77734375" style="343" customWidth="1"/>
    <col min="5" max="5" width="30" style="343" customWidth="1"/>
    <col min="6" max="7" width="12.5546875" style="344" hidden="1" customWidth="1"/>
    <col min="8" max="8" width="12.5546875" style="344" customWidth="1"/>
    <col min="9" max="9" width="2.88671875" style="345" customWidth="1"/>
    <col min="10" max="10" width="12.33203125" style="289" hidden="1" customWidth="1"/>
    <col min="11" max="11" width="22.109375" style="346" hidden="1" customWidth="1"/>
    <col min="12" max="12" width="11.5546875" style="289" hidden="1" customWidth="1"/>
    <col min="13" max="13" width="14" style="373" customWidth="1"/>
    <col min="14" max="14" width="2.88671875" style="345" customWidth="1"/>
    <col min="15" max="16" width="10.77734375" style="338" customWidth="1"/>
    <col min="17" max="17" width="8.88671875" style="339"/>
    <col min="18" max="18" width="12.109375" style="339" bestFit="1" customWidth="1"/>
    <col min="19" max="19" width="8.88671875" style="339"/>
    <col min="20" max="20" width="10.109375" style="339" bestFit="1" customWidth="1"/>
    <col min="21" max="40" width="8.88671875" style="339"/>
    <col min="41" max="78" width="8.88671875" style="4"/>
  </cols>
  <sheetData>
    <row r="1" spans="1:78" ht="13.8" customHeight="1" x14ac:dyDescent="0.3">
      <c r="A1" s="426" t="s">
        <v>422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1:78" ht="13.8" customHeight="1" x14ac:dyDescent="0.3">
      <c r="A2" s="427" t="s">
        <v>442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</row>
    <row r="3" spans="1:78" s="342" customFormat="1" ht="13.8" hidden="1" customHeight="1" thickBot="1" x14ac:dyDescent="0.35">
      <c r="A3" s="397">
        <f>A169</f>
        <v>0</v>
      </c>
      <c r="B3" s="397">
        <f>B169</f>
        <v>0</v>
      </c>
      <c r="C3" s="424" t="str">
        <f>C169</f>
        <v>NET INCOME</v>
      </c>
      <c r="D3" s="424"/>
      <c r="E3" s="424"/>
      <c r="F3" s="397">
        <f>F169</f>
        <v>2026.8100000000559</v>
      </c>
      <c r="G3" s="397">
        <f>G169</f>
        <v>-3473.8924999999581</v>
      </c>
      <c r="H3" s="397">
        <f>H169</f>
        <v>0.22000000008847564</v>
      </c>
      <c r="I3" s="397"/>
      <c r="J3" s="371">
        <f>J169</f>
        <v>7495.4707000000635</v>
      </c>
      <c r="K3" s="372"/>
      <c r="L3" s="371">
        <f t="shared" ref="L3:M3" si="0">L169</f>
        <v>0</v>
      </c>
      <c r="M3" s="371">
        <f t="shared" si="0"/>
        <v>0.32860200002323836</v>
      </c>
      <c r="N3" s="397"/>
      <c r="O3" s="397"/>
      <c r="P3" s="397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</row>
    <row r="4" spans="1:78" ht="13.8" customHeight="1" thickBot="1" x14ac:dyDescent="0.35">
      <c r="M4" s="297"/>
    </row>
    <row r="5" spans="1:78" ht="45.6" customHeight="1" thickTop="1" thickBot="1" x14ac:dyDescent="0.35">
      <c r="A5" s="413"/>
      <c r="B5" s="413"/>
      <c r="C5" s="413"/>
      <c r="D5" s="413"/>
      <c r="E5" s="413"/>
      <c r="F5" s="414" t="s">
        <v>366</v>
      </c>
      <c r="G5" s="414" t="s">
        <v>367</v>
      </c>
      <c r="H5" s="415" t="s">
        <v>368</v>
      </c>
      <c r="I5" s="398"/>
      <c r="J5" s="288" t="s">
        <v>369</v>
      </c>
      <c r="L5" s="425" t="s">
        <v>441</v>
      </c>
      <c r="M5" s="425"/>
      <c r="N5" s="398"/>
      <c r="O5" s="399" t="s">
        <v>419</v>
      </c>
      <c r="P5" s="399" t="s">
        <v>420</v>
      </c>
    </row>
    <row r="6" spans="1:78" ht="13.8" customHeight="1" thickTop="1" x14ac:dyDescent="0.3">
      <c r="A6" s="384" t="s">
        <v>0</v>
      </c>
      <c r="B6" s="384"/>
      <c r="C6" s="384"/>
      <c r="D6" s="384"/>
      <c r="E6" s="384"/>
      <c r="F6" s="403"/>
      <c r="G6" s="403"/>
      <c r="H6" s="400"/>
      <c r="J6" s="291"/>
      <c r="L6" s="291"/>
      <c r="M6" s="374"/>
    </row>
    <row r="7" spans="1:78" ht="13.8" customHeight="1" x14ac:dyDescent="0.3">
      <c r="A7" s="384"/>
      <c r="B7" s="384" t="s">
        <v>1</v>
      </c>
      <c r="C7" s="384"/>
      <c r="D7" s="384"/>
      <c r="E7" s="384"/>
      <c r="F7" s="403"/>
      <c r="G7" s="403"/>
      <c r="H7" s="400"/>
      <c r="J7" s="291"/>
      <c r="L7" s="291"/>
      <c r="M7" s="374"/>
    </row>
    <row r="8" spans="1:78" ht="13.8" customHeight="1" x14ac:dyDescent="0.3">
      <c r="A8" s="384"/>
      <c r="B8" s="384"/>
      <c r="C8" s="384" t="s">
        <v>2</v>
      </c>
      <c r="D8" s="384"/>
      <c r="E8" s="384"/>
      <c r="F8" s="403"/>
      <c r="G8" s="403"/>
      <c r="H8" s="400"/>
      <c r="J8" s="291"/>
      <c r="L8" s="291"/>
      <c r="M8" s="374"/>
      <c r="O8" s="400"/>
      <c r="P8" s="400"/>
    </row>
    <row r="9" spans="1:78" ht="13.8" customHeight="1" x14ac:dyDescent="0.3">
      <c r="A9" s="384"/>
      <c r="B9" s="384"/>
      <c r="C9" s="384"/>
      <c r="D9" s="384" t="s">
        <v>3</v>
      </c>
      <c r="E9" s="384"/>
      <c r="F9" s="403">
        <v>5247.45</v>
      </c>
      <c r="G9" s="403">
        <v>8247.1299999999992</v>
      </c>
      <c r="H9" s="400">
        <v>9938</v>
      </c>
      <c r="I9" s="401"/>
      <c r="J9" s="364">
        <v>10000</v>
      </c>
      <c r="K9" s="365" t="s">
        <v>370</v>
      </c>
      <c r="L9" s="364"/>
      <c r="M9" s="374">
        <f>L9+J9</f>
        <v>10000</v>
      </c>
      <c r="N9" s="401"/>
      <c r="O9" s="400">
        <f>M9-H9</f>
        <v>62</v>
      </c>
      <c r="P9" s="400">
        <f>M9-G9</f>
        <v>1752.8700000000008</v>
      </c>
    </row>
    <row r="10" spans="1:78" ht="13.8" customHeight="1" x14ac:dyDescent="0.3">
      <c r="A10" s="384"/>
      <c r="B10" s="384"/>
      <c r="C10" s="384"/>
      <c r="D10" s="384" t="s">
        <v>4</v>
      </c>
      <c r="E10" s="384"/>
      <c r="F10" s="403">
        <v>16859.82</v>
      </c>
      <c r="G10" s="403">
        <v>24860.18</v>
      </c>
      <c r="H10" s="400">
        <v>32596</v>
      </c>
      <c r="I10" s="401"/>
      <c r="J10" s="291">
        <v>24860</v>
      </c>
      <c r="K10" s="346" t="s">
        <v>413</v>
      </c>
      <c r="L10" s="291"/>
      <c r="M10" s="374">
        <f t="shared" ref="M10:M53" si="1">L10+J10</f>
        <v>24860</v>
      </c>
      <c r="N10" s="401"/>
      <c r="O10" s="400">
        <f t="shared" ref="O10:O65" si="2">M10-H10</f>
        <v>-7736</v>
      </c>
      <c r="P10" s="400">
        <f t="shared" ref="P10:P65" si="3">M10-G10</f>
        <v>-0.18000000000029104</v>
      </c>
    </row>
    <row r="11" spans="1:78" ht="13.8" customHeight="1" x14ac:dyDescent="0.3">
      <c r="A11" s="384"/>
      <c r="B11" s="384"/>
      <c r="C11" s="384"/>
      <c r="D11" s="384" t="s">
        <v>435</v>
      </c>
      <c r="E11" s="384"/>
      <c r="F11" s="403">
        <v>12374.05</v>
      </c>
      <c r="G11" s="403">
        <v>18540.73</v>
      </c>
      <c r="H11" s="400">
        <v>20000</v>
      </c>
      <c r="I11" s="401"/>
      <c r="J11" s="291">
        <f>+G11*1.02</f>
        <v>18911.544600000001</v>
      </c>
      <c r="K11" s="346" t="s">
        <v>414</v>
      </c>
      <c r="L11" s="291"/>
      <c r="M11" s="374">
        <f t="shared" si="1"/>
        <v>18911.544600000001</v>
      </c>
      <c r="N11" s="401"/>
      <c r="O11" s="400">
        <f t="shared" si="2"/>
        <v>-1088.4553999999989</v>
      </c>
      <c r="P11" s="400">
        <f t="shared" si="3"/>
        <v>370.81460000000152</v>
      </c>
    </row>
    <row r="12" spans="1:78" ht="13.8" customHeight="1" x14ac:dyDescent="0.3">
      <c r="A12" s="384"/>
      <c r="B12" s="384"/>
      <c r="C12" s="384"/>
      <c r="D12" s="384" t="s">
        <v>424</v>
      </c>
      <c r="E12" s="384"/>
      <c r="F12" s="403">
        <v>4225</v>
      </c>
      <c r="G12" s="403">
        <v>4225</v>
      </c>
      <c r="H12" s="400">
        <v>11328</v>
      </c>
      <c r="I12" s="401"/>
      <c r="J12" s="291">
        <v>0</v>
      </c>
      <c r="K12" s="346" t="s">
        <v>412</v>
      </c>
      <c r="L12" s="291"/>
      <c r="M12" s="374">
        <f t="shared" si="1"/>
        <v>0</v>
      </c>
      <c r="N12" s="401"/>
      <c r="O12" s="400">
        <f t="shared" si="2"/>
        <v>-11328</v>
      </c>
      <c r="P12" s="400">
        <f t="shared" si="3"/>
        <v>-4225</v>
      </c>
    </row>
    <row r="13" spans="1:78" ht="13.8" customHeight="1" thickBot="1" x14ac:dyDescent="0.35">
      <c r="A13" s="384"/>
      <c r="B13" s="384"/>
      <c r="C13" s="384"/>
      <c r="D13" s="384" t="s">
        <v>5</v>
      </c>
      <c r="E13" s="384"/>
      <c r="F13" s="416">
        <v>279756.52</v>
      </c>
      <c r="G13" s="416">
        <v>399756.83</v>
      </c>
      <c r="H13" s="402">
        <v>407993</v>
      </c>
      <c r="I13" s="401"/>
      <c r="J13" s="292">
        <f>Revenue!G12</f>
        <v>416579.71640000003</v>
      </c>
      <c r="K13" s="148" t="s">
        <v>383</v>
      </c>
      <c r="L13" s="292"/>
      <c r="M13" s="432">
        <f>Revenue!G12</f>
        <v>416579.71640000003</v>
      </c>
      <c r="N13" s="401"/>
      <c r="O13" s="402">
        <f t="shared" si="2"/>
        <v>8586.7164000000339</v>
      </c>
      <c r="P13" s="402">
        <f t="shared" si="3"/>
        <v>16822.886400000018</v>
      </c>
    </row>
    <row r="14" spans="1:78" ht="13.8" customHeight="1" x14ac:dyDescent="0.3">
      <c r="A14" s="384"/>
      <c r="B14" s="384"/>
      <c r="C14" s="384" t="s">
        <v>6</v>
      </c>
      <c r="D14" s="384"/>
      <c r="E14" s="384"/>
      <c r="F14" s="403">
        <v>318462.84000000003</v>
      </c>
      <c r="G14" s="403">
        <f>SUM(G9:G13)</f>
        <v>455629.87</v>
      </c>
      <c r="H14" s="403">
        <f>SUM(H9:H13)</f>
        <v>481855</v>
      </c>
      <c r="I14" s="401"/>
      <c r="J14" s="296">
        <f>SUM(J9:J13)</f>
        <v>470351.26100000006</v>
      </c>
      <c r="L14" s="296"/>
      <c r="M14" s="376">
        <f t="shared" si="1"/>
        <v>470351.26100000006</v>
      </c>
      <c r="N14" s="401"/>
      <c r="O14" s="403">
        <f t="shared" si="2"/>
        <v>-11503.738999999943</v>
      </c>
      <c r="P14" s="403">
        <f t="shared" si="3"/>
        <v>14721.391000000061</v>
      </c>
      <c r="R14" s="434"/>
    </row>
    <row r="15" spans="1:78" ht="13.8" customHeight="1" x14ac:dyDescent="0.3">
      <c r="A15" s="384"/>
      <c r="B15" s="384"/>
      <c r="C15" s="384" t="s">
        <v>7</v>
      </c>
      <c r="D15" s="384"/>
      <c r="E15" s="384"/>
      <c r="F15" s="403"/>
      <c r="G15" s="403"/>
      <c r="H15" s="400"/>
      <c r="J15" s="291"/>
      <c r="L15" s="291"/>
      <c r="M15" s="374"/>
      <c r="O15" s="400"/>
      <c r="P15" s="400"/>
    </row>
    <row r="16" spans="1:78" ht="13.8" customHeight="1" x14ac:dyDescent="0.3">
      <c r="A16" s="384"/>
      <c r="B16" s="384"/>
      <c r="C16" s="384"/>
      <c r="D16" s="384" t="s">
        <v>8</v>
      </c>
      <c r="E16" s="384"/>
      <c r="F16" s="403">
        <v>39087.230000000003</v>
      </c>
      <c r="G16" s="403">
        <v>58650.060000000005</v>
      </c>
      <c r="H16" s="400">
        <v>58688.51</v>
      </c>
      <c r="J16" s="291">
        <v>60097</v>
      </c>
      <c r="K16" s="347" t="s">
        <v>416</v>
      </c>
      <c r="L16" s="291"/>
      <c r="M16" s="374">
        <f t="shared" si="1"/>
        <v>60097</v>
      </c>
      <c r="O16" s="400">
        <f t="shared" si="2"/>
        <v>1408.489999999998</v>
      </c>
      <c r="P16" s="400">
        <f t="shared" si="3"/>
        <v>1446.9399999999951</v>
      </c>
    </row>
    <row r="17" spans="1:16" ht="13.8" customHeight="1" x14ac:dyDescent="0.3">
      <c r="A17" s="384"/>
      <c r="B17" s="384"/>
      <c r="C17" s="384"/>
      <c r="D17" s="384" t="s">
        <v>9</v>
      </c>
      <c r="E17" s="384"/>
      <c r="F17" s="403">
        <v>2160</v>
      </c>
      <c r="G17" s="403">
        <v>3016.72</v>
      </c>
      <c r="H17" s="400">
        <v>2570.2399999999998</v>
      </c>
      <c r="J17" s="291">
        <v>2570.2399999999998</v>
      </c>
      <c r="K17" s="347" t="s">
        <v>252</v>
      </c>
      <c r="L17" s="291"/>
      <c r="M17" s="374">
        <f t="shared" si="1"/>
        <v>2570.2399999999998</v>
      </c>
      <c r="O17" s="400">
        <f t="shared" si="2"/>
        <v>0</v>
      </c>
      <c r="P17" s="400">
        <f t="shared" si="3"/>
        <v>-446.48</v>
      </c>
    </row>
    <row r="18" spans="1:16" ht="13.8" customHeight="1" x14ac:dyDescent="0.3">
      <c r="A18" s="384"/>
      <c r="B18" s="384"/>
      <c r="C18" s="384"/>
      <c r="D18" s="384" t="s">
        <v>10</v>
      </c>
      <c r="E18" s="384"/>
      <c r="F18" s="403">
        <v>8008</v>
      </c>
      <c r="G18" s="403">
        <v>12012</v>
      </c>
      <c r="H18" s="400">
        <v>12012</v>
      </c>
      <c r="J18" s="291">
        <v>12012</v>
      </c>
      <c r="K18" s="347" t="s">
        <v>252</v>
      </c>
      <c r="L18" s="291"/>
      <c r="M18" s="374">
        <f t="shared" si="1"/>
        <v>12012</v>
      </c>
      <c r="O18" s="400">
        <f t="shared" si="2"/>
        <v>0</v>
      </c>
      <c r="P18" s="400">
        <f t="shared" si="3"/>
        <v>0</v>
      </c>
    </row>
    <row r="19" spans="1:16" ht="13.8" customHeight="1" x14ac:dyDescent="0.3">
      <c r="A19" s="384"/>
      <c r="B19" s="384"/>
      <c r="C19" s="384"/>
      <c r="D19" s="384" t="s">
        <v>11</v>
      </c>
      <c r="E19" s="384"/>
      <c r="F19" s="403">
        <v>1890</v>
      </c>
      <c r="G19" s="403">
        <v>2733.36</v>
      </c>
      <c r="H19" s="400">
        <v>2530</v>
      </c>
      <c r="J19" s="291">
        <v>5770</v>
      </c>
      <c r="K19" s="347" t="s">
        <v>421</v>
      </c>
      <c r="L19" s="291"/>
      <c r="M19" s="374">
        <f t="shared" si="1"/>
        <v>5770</v>
      </c>
      <c r="O19" s="400">
        <f t="shared" si="2"/>
        <v>3240</v>
      </c>
      <c r="P19" s="400">
        <f t="shared" si="3"/>
        <v>3036.64</v>
      </c>
    </row>
    <row r="20" spans="1:16" ht="13.8" customHeight="1" x14ac:dyDescent="0.3">
      <c r="A20" s="384"/>
      <c r="B20" s="384"/>
      <c r="C20" s="384"/>
      <c r="D20" s="384" t="s">
        <v>12</v>
      </c>
      <c r="E20" s="384"/>
      <c r="F20" s="403">
        <v>4500</v>
      </c>
      <c r="G20" s="403">
        <v>6000</v>
      </c>
      <c r="H20" s="400">
        <v>6000</v>
      </c>
      <c r="J20" s="291">
        <v>6000</v>
      </c>
      <c r="K20" s="347" t="s">
        <v>252</v>
      </c>
      <c r="L20" s="291"/>
      <c r="M20" s="374">
        <f t="shared" si="1"/>
        <v>6000</v>
      </c>
      <c r="O20" s="400">
        <f t="shared" si="2"/>
        <v>0</v>
      </c>
      <c r="P20" s="400">
        <f t="shared" si="3"/>
        <v>0</v>
      </c>
    </row>
    <row r="21" spans="1:16" ht="13.8" customHeight="1" thickBot="1" x14ac:dyDescent="0.35">
      <c r="A21" s="384"/>
      <c r="B21" s="384"/>
      <c r="C21" s="384"/>
      <c r="D21" s="384" t="s">
        <v>13</v>
      </c>
      <c r="E21" s="384"/>
      <c r="F21" s="416">
        <v>955</v>
      </c>
      <c r="G21" s="416">
        <v>955</v>
      </c>
      <c r="H21" s="402">
        <v>4065</v>
      </c>
      <c r="J21" s="292">
        <v>1000</v>
      </c>
      <c r="K21" s="348" t="s">
        <v>253</v>
      </c>
      <c r="L21" s="292"/>
      <c r="M21" s="375">
        <f t="shared" si="1"/>
        <v>1000</v>
      </c>
      <c r="O21" s="402">
        <f t="shared" si="2"/>
        <v>-3065</v>
      </c>
      <c r="P21" s="402">
        <f t="shared" si="3"/>
        <v>45</v>
      </c>
    </row>
    <row r="22" spans="1:16" ht="13.8" customHeight="1" x14ac:dyDescent="0.3">
      <c r="A22" s="384"/>
      <c r="B22" s="384"/>
      <c r="C22" s="384" t="s">
        <v>14</v>
      </c>
      <c r="D22" s="384"/>
      <c r="E22" s="384"/>
      <c r="F22" s="403">
        <v>56600.23</v>
      </c>
      <c r="G22" s="403">
        <f>SUM(G16:G21)</f>
        <v>83367.14</v>
      </c>
      <c r="H22" s="400">
        <f>SUM(H16:H21)</f>
        <v>85865.75</v>
      </c>
      <c r="I22" s="401"/>
      <c r="J22" s="291">
        <f>SUM(J16:J21)</f>
        <v>87449.239999999991</v>
      </c>
      <c r="L22" s="291"/>
      <c r="M22" s="374">
        <f t="shared" si="1"/>
        <v>87449.239999999991</v>
      </c>
      <c r="N22" s="401"/>
      <c r="O22" s="400">
        <f t="shared" si="2"/>
        <v>1583.4899999999907</v>
      </c>
      <c r="P22" s="400">
        <f t="shared" si="3"/>
        <v>4082.0999999999913</v>
      </c>
    </row>
    <row r="23" spans="1:16" ht="13.8" customHeight="1" x14ac:dyDescent="0.3">
      <c r="A23" s="384"/>
      <c r="B23" s="384"/>
      <c r="C23" s="384" t="s">
        <v>15</v>
      </c>
      <c r="D23" s="384"/>
      <c r="E23" s="384"/>
      <c r="F23" s="403"/>
      <c r="G23" s="403"/>
      <c r="H23" s="400"/>
      <c r="J23" s="291"/>
      <c r="L23" s="291"/>
      <c r="M23" s="374"/>
      <c r="O23" s="400"/>
      <c r="P23" s="400"/>
    </row>
    <row r="24" spans="1:16" ht="13.8" customHeight="1" x14ac:dyDescent="0.3">
      <c r="A24" s="384"/>
      <c r="B24" s="384"/>
      <c r="C24" s="384"/>
      <c r="D24" s="384" t="s">
        <v>17</v>
      </c>
      <c r="E24" s="384"/>
      <c r="F24" s="403">
        <v>539.03</v>
      </c>
      <c r="G24" s="403">
        <v>539.03</v>
      </c>
      <c r="H24" s="400">
        <v>1000</v>
      </c>
      <c r="J24" s="291">
        <v>1000</v>
      </c>
      <c r="K24" s="347" t="s">
        <v>189</v>
      </c>
      <c r="L24" s="291"/>
      <c r="M24" s="374">
        <f t="shared" si="1"/>
        <v>1000</v>
      </c>
      <c r="O24" s="400">
        <f t="shared" si="2"/>
        <v>0</v>
      </c>
      <c r="P24" s="400">
        <f t="shared" si="3"/>
        <v>460.97</v>
      </c>
    </row>
    <row r="25" spans="1:16" ht="13.8" customHeight="1" x14ac:dyDescent="0.3">
      <c r="A25" s="384"/>
      <c r="B25" s="384"/>
      <c r="C25" s="384"/>
      <c r="D25" s="384" t="s">
        <v>423</v>
      </c>
      <c r="E25" s="384"/>
      <c r="F25" s="403">
        <v>0</v>
      </c>
      <c r="G25" s="403">
        <v>1000</v>
      </c>
      <c r="H25" s="400">
        <v>0</v>
      </c>
      <c r="J25" s="291">
        <v>1000</v>
      </c>
      <c r="K25" s="347"/>
      <c r="L25" s="291"/>
      <c r="M25" s="374">
        <f t="shared" si="1"/>
        <v>1000</v>
      </c>
      <c r="O25" s="400">
        <f t="shared" si="2"/>
        <v>1000</v>
      </c>
      <c r="P25" s="400">
        <f t="shared" si="3"/>
        <v>0</v>
      </c>
    </row>
    <row r="26" spans="1:16" ht="13.8" customHeight="1" thickBot="1" x14ac:dyDescent="0.35">
      <c r="A26" s="384"/>
      <c r="B26" s="384"/>
      <c r="C26" s="384"/>
      <c r="D26" s="384" t="s">
        <v>20</v>
      </c>
      <c r="E26" s="384"/>
      <c r="F26" s="416">
        <v>240</v>
      </c>
      <c r="G26" s="416">
        <v>18000</v>
      </c>
      <c r="H26" s="402">
        <v>17000</v>
      </c>
      <c r="J26" s="292">
        <v>18000</v>
      </c>
      <c r="L26" s="292"/>
      <c r="M26" s="375">
        <f t="shared" si="1"/>
        <v>18000</v>
      </c>
      <c r="O26" s="402">
        <f t="shared" si="2"/>
        <v>1000</v>
      </c>
      <c r="P26" s="402">
        <f t="shared" si="3"/>
        <v>0</v>
      </c>
    </row>
    <row r="27" spans="1:16" ht="13.8" customHeight="1" x14ac:dyDescent="0.3">
      <c r="A27" s="384"/>
      <c r="B27" s="384"/>
      <c r="C27" s="384" t="s">
        <v>23</v>
      </c>
      <c r="D27" s="384"/>
      <c r="E27" s="384"/>
      <c r="F27" s="403">
        <v>779.03</v>
      </c>
      <c r="G27" s="403">
        <f>SUM(G24:G26)</f>
        <v>19539.03</v>
      </c>
      <c r="H27" s="400">
        <v>18000</v>
      </c>
      <c r="I27" s="401"/>
      <c r="J27" s="291">
        <f>SUM(J24:J26)</f>
        <v>20000</v>
      </c>
      <c r="L27" s="291"/>
      <c r="M27" s="374">
        <f t="shared" si="1"/>
        <v>20000</v>
      </c>
      <c r="N27" s="401"/>
      <c r="O27" s="400">
        <f t="shared" si="2"/>
        <v>2000</v>
      </c>
      <c r="P27" s="400">
        <f t="shared" si="3"/>
        <v>460.97000000000116</v>
      </c>
    </row>
    <row r="28" spans="1:16" ht="13.8" customHeight="1" x14ac:dyDescent="0.3">
      <c r="A28" s="384"/>
      <c r="B28" s="384"/>
      <c r="C28" s="384" t="s">
        <v>365</v>
      </c>
      <c r="D28" s="384"/>
      <c r="E28" s="384"/>
      <c r="F28" s="403"/>
      <c r="G28" s="403"/>
      <c r="H28" s="400"/>
      <c r="I28" s="401"/>
      <c r="J28" s="291"/>
      <c r="L28" s="291"/>
      <c r="M28" s="374"/>
      <c r="N28" s="401"/>
      <c r="O28" s="400"/>
      <c r="P28" s="400"/>
    </row>
    <row r="29" spans="1:16" ht="13.8" customHeight="1" thickBot="1" x14ac:dyDescent="0.35">
      <c r="A29" s="384"/>
      <c r="B29" s="384"/>
      <c r="C29" s="384"/>
      <c r="D29" s="384" t="s">
        <v>356</v>
      </c>
      <c r="E29" s="384"/>
      <c r="F29" s="416">
        <v>3.59</v>
      </c>
      <c r="G29" s="416">
        <v>4</v>
      </c>
      <c r="H29" s="416">
        <v>0</v>
      </c>
      <c r="I29" s="401"/>
      <c r="J29" s="292">
        <v>0</v>
      </c>
      <c r="L29" s="292"/>
      <c r="M29" s="375">
        <f t="shared" si="1"/>
        <v>0</v>
      </c>
      <c r="N29" s="401"/>
      <c r="O29" s="402">
        <f t="shared" si="2"/>
        <v>0</v>
      </c>
      <c r="P29" s="402">
        <f t="shared" si="3"/>
        <v>-4</v>
      </c>
    </row>
    <row r="30" spans="1:16" ht="13.8" customHeight="1" x14ac:dyDescent="0.3">
      <c r="A30" s="384"/>
      <c r="B30" s="384"/>
      <c r="C30" s="384" t="s">
        <v>24</v>
      </c>
      <c r="D30" s="384"/>
      <c r="E30" s="384"/>
      <c r="F30" s="403">
        <v>3.59</v>
      </c>
      <c r="G30" s="403">
        <f>G29</f>
        <v>4</v>
      </c>
      <c r="H30" s="404">
        <v>0</v>
      </c>
      <c r="J30" s="291">
        <v>0</v>
      </c>
      <c r="L30" s="291"/>
      <c r="M30" s="374">
        <f t="shared" si="1"/>
        <v>0</v>
      </c>
      <c r="O30" s="400">
        <f t="shared" si="2"/>
        <v>0</v>
      </c>
      <c r="P30" s="400">
        <f t="shared" si="3"/>
        <v>-4</v>
      </c>
    </row>
    <row r="31" spans="1:16" ht="13.8" customHeight="1" x14ac:dyDescent="0.3">
      <c r="A31" s="384"/>
      <c r="B31" s="384"/>
      <c r="C31" s="384" t="s">
        <v>25</v>
      </c>
      <c r="D31" s="384"/>
      <c r="E31" s="384"/>
      <c r="F31" s="403"/>
      <c r="G31" s="403"/>
      <c r="H31" s="400"/>
      <c r="J31" s="291"/>
      <c r="L31" s="291"/>
      <c r="M31" s="374"/>
      <c r="O31" s="400">
        <f t="shared" si="2"/>
        <v>0</v>
      </c>
      <c r="P31" s="400">
        <f t="shared" si="3"/>
        <v>0</v>
      </c>
    </row>
    <row r="32" spans="1:16" ht="13.8" customHeight="1" x14ac:dyDescent="0.3">
      <c r="A32" s="384"/>
      <c r="B32" s="384"/>
      <c r="C32" s="384"/>
      <c r="D32" s="384" t="s">
        <v>26</v>
      </c>
      <c r="E32" s="384"/>
      <c r="F32" s="403">
        <v>200</v>
      </c>
      <c r="G32" s="403">
        <v>260</v>
      </c>
      <c r="H32" s="400">
        <v>480</v>
      </c>
      <c r="J32" s="291"/>
      <c r="L32" s="291"/>
      <c r="M32" s="374">
        <v>500</v>
      </c>
      <c r="O32" s="400">
        <f t="shared" si="2"/>
        <v>20</v>
      </c>
      <c r="P32" s="400">
        <f t="shared" si="3"/>
        <v>240</v>
      </c>
    </row>
    <row r="33" spans="1:78" ht="13.8" customHeight="1" x14ac:dyDescent="0.3">
      <c r="A33" s="384"/>
      <c r="B33" s="384"/>
      <c r="C33" s="384"/>
      <c r="D33" s="384" t="s">
        <v>357</v>
      </c>
      <c r="E33" s="384"/>
      <c r="F33" s="403">
        <v>22</v>
      </c>
      <c r="G33" s="403">
        <v>22</v>
      </c>
      <c r="H33" s="400">
        <v>0</v>
      </c>
      <c r="J33" s="291"/>
      <c r="L33" s="291"/>
      <c r="M33" s="374">
        <f t="shared" si="1"/>
        <v>0</v>
      </c>
      <c r="O33" s="400">
        <f t="shared" si="2"/>
        <v>0</v>
      </c>
      <c r="P33" s="400">
        <f t="shared" si="3"/>
        <v>-22</v>
      </c>
    </row>
    <row r="34" spans="1:78" ht="13.8" customHeight="1" x14ac:dyDescent="0.3">
      <c r="A34" s="384"/>
      <c r="B34" s="384"/>
      <c r="C34" s="384"/>
      <c r="D34" s="384" t="s">
        <v>27</v>
      </c>
      <c r="E34" s="384"/>
      <c r="F34" s="403">
        <v>32.07</v>
      </c>
      <c r="G34" s="403">
        <v>32.07</v>
      </c>
      <c r="H34" s="400">
        <v>0</v>
      </c>
      <c r="J34" s="291"/>
      <c r="L34" s="291"/>
      <c r="M34" s="374">
        <v>100</v>
      </c>
      <c r="O34" s="400">
        <f t="shared" si="2"/>
        <v>100</v>
      </c>
      <c r="P34" s="400">
        <f t="shared" si="3"/>
        <v>67.930000000000007</v>
      </c>
    </row>
    <row r="35" spans="1:78" ht="13.8" customHeight="1" x14ac:dyDescent="0.3">
      <c r="A35" s="384"/>
      <c r="B35" s="384"/>
      <c r="C35" s="384"/>
      <c r="D35" s="384" t="s">
        <v>29</v>
      </c>
      <c r="E35" s="384"/>
      <c r="F35" s="403">
        <v>581.29</v>
      </c>
      <c r="G35" s="403">
        <v>731.29</v>
      </c>
      <c r="H35" s="400">
        <v>300</v>
      </c>
      <c r="J35" s="291"/>
      <c r="L35" s="291"/>
      <c r="M35" s="374">
        <v>500</v>
      </c>
      <c r="O35" s="400">
        <f t="shared" si="2"/>
        <v>200</v>
      </c>
      <c r="P35" s="400">
        <f t="shared" si="3"/>
        <v>-231.28999999999996</v>
      </c>
    </row>
    <row r="36" spans="1:78" ht="13.8" customHeight="1" thickBot="1" x14ac:dyDescent="0.35">
      <c r="A36" s="384"/>
      <c r="B36" s="384"/>
      <c r="C36" s="384"/>
      <c r="D36" s="384" t="s">
        <v>30</v>
      </c>
      <c r="E36" s="384"/>
      <c r="F36" s="403">
        <v>766.63</v>
      </c>
      <c r="G36" s="403">
        <v>391.63</v>
      </c>
      <c r="H36" s="404">
        <v>4500</v>
      </c>
      <c r="J36" s="293"/>
      <c r="L36" s="293"/>
      <c r="M36" s="377">
        <v>900</v>
      </c>
      <c r="O36" s="404">
        <f t="shared" si="2"/>
        <v>-3600</v>
      </c>
      <c r="P36" s="404">
        <f t="shared" si="3"/>
        <v>508.37</v>
      </c>
    </row>
    <row r="37" spans="1:78" ht="13.8" customHeight="1" x14ac:dyDescent="0.3">
      <c r="A37" s="384"/>
      <c r="B37" s="384"/>
      <c r="C37" s="384" t="s">
        <v>31</v>
      </c>
      <c r="D37" s="384"/>
      <c r="E37" s="384"/>
      <c r="F37" s="417">
        <v>1601.99</v>
      </c>
      <c r="G37" s="417">
        <f>SUM(G32:G36)</f>
        <v>1436.9899999999998</v>
      </c>
      <c r="H37" s="405">
        <v>5280</v>
      </c>
      <c r="I37" s="401"/>
      <c r="J37" s="294">
        <v>2000</v>
      </c>
      <c r="K37" s="346" t="s">
        <v>384</v>
      </c>
      <c r="L37" s="294"/>
      <c r="M37" s="378">
        <f>SUM(M32:M36)</f>
        <v>2000</v>
      </c>
      <c r="N37" s="401"/>
      <c r="O37" s="405">
        <f t="shared" si="2"/>
        <v>-3280</v>
      </c>
      <c r="P37" s="405">
        <f t="shared" si="3"/>
        <v>563.01000000000022</v>
      </c>
    </row>
    <row r="38" spans="1:78" s="341" customFormat="1" ht="13.8" customHeight="1" x14ac:dyDescent="0.3">
      <c r="A38" s="418"/>
      <c r="B38" s="418" t="s">
        <v>32</v>
      </c>
      <c r="C38" s="418"/>
      <c r="D38" s="418"/>
      <c r="E38" s="418"/>
      <c r="F38" s="407">
        <v>377447.67999999999</v>
      </c>
      <c r="G38" s="407">
        <f>+G37+G30+G27+G22+G14</f>
        <v>559977.03</v>
      </c>
      <c r="H38" s="419">
        <v>591000.75</v>
      </c>
      <c r="I38" s="406"/>
      <c r="J38" s="340">
        <f>+J37+J30+J27+J22+J14</f>
        <v>579800.50100000005</v>
      </c>
      <c r="K38" s="349"/>
      <c r="L38" s="340"/>
      <c r="M38" s="340">
        <f t="shared" si="1"/>
        <v>579800.50100000005</v>
      </c>
      <c r="N38" s="406"/>
      <c r="O38" s="407">
        <f t="shared" si="2"/>
        <v>-11200.248999999953</v>
      </c>
      <c r="P38" s="407">
        <f t="shared" si="3"/>
        <v>19823.47100000002</v>
      </c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</row>
    <row r="39" spans="1:78" s="138" customFormat="1" ht="13.8" customHeight="1" x14ac:dyDescent="0.3">
      <c r="A39" s="384"/>
      <c r="B39" s="384" t="s">
        <v>438</v>
      </c>
      <c r="C39" s="384"/>
      <c r="D39" s="385"/>
      <c r="E39" s="384"/>
      <c r="F39" s="386"/>
      <c r="G39" s="386"/>
      <c r="H39" s="387"/>
      <c r="I39" s="388"/>
      <c r="J39" s="389">
        <v>10000</v>
      </c>
      <c r="K39" s="390"/>
      <c r="L39" s="389"/>
      <c r="M39" s="379">
        <f>J39</f>
        <v>10000</v>
      </c>
      <c r="N39" s="388"/>
      <c r="O39" s="386">
        <f t="shared" si="2"/>
        <v>10000</v>
      </c>
      <c r="P39" s="386">
        <f t="shared" si="3"/>
        <v>10000</v>
      </c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385"/>
      <c r="AJ39" s="385"/>
      <c r="AK39" s="385"/>
      <c r="AL39" s="385"/>
      <c r="AM39" s="385"/>
      <c r="AN39" s="385"/>
    </row>
    <row r="40" spans="1:78" ht="13.8" customHeight="1" x14ac:dyDescent="0.3">
      <c r="A40" s="384"/>
      <c r="B40" s="384" t="s">
        <v>33</v>
      </c>
      <c r="C40" s="384"/>
      <c r="D40" s="384"/>
      <c r="E40" s="384"/>
      <c r="F40" s="403"/>
      <c r="G40" s="403"/>
      <c r="H40" s="400"/>
      <c r="J40" s="291"/>
      <c r="L40" s="291"/>
      <c r="M40" s="374"/>
      <c r="O40" s="400"/>
      <c r="P40" s="400"/>
    </row>
    <row r="41" spans="1:78" ht="13.8" customHeight="1" x14ac:dyDescent="0.3">
      <c r="A41" s="384"/>
      <c r="B41" s="384"/>
      <c r="C41" s="384" t="s">
        <v>34</v>
      </c>
      <c r="D41" s="384"/>
      <c r="E41" s="384"/>
      <c r="F41" s="403"/>
      <c r="G41" s="403"/>
      <c r="H41" s="400"/>
      <c r="J41" s="291"/>
      <c r="L41" s="291"/>
      <c r="M41" s="374"/>
      <c r="O41" s="400"/>
      <c r="P41" s="400"/>
    </row>
    <row r="42" spans="1:78" ht="13.8" customHeight="1" x14ac:dyDescent="0.3">
      <c r="A42" s="384"/>
      <c r="B42" s="384"/>
      <c r="C42" s="384"/>
      <c r="D42" s="384" t="s">
        <v>35</v>
      </c>
      <c r="E42" s="384"/>
      <c r="F42" s="403">
        <v>729.4</v>
      </c>
      <c r="G42" s="403">
        <v>729.4</v>
      </c>
      <c r="H42" s="400">
        <v>2000</v>
      </c>
      <c r="J42" s="291"/>
      <c r="L42" s="291"/>
      <c r="M42" s="374">
        <v>2000</v>
      </c>
      <c r="O42" s="400">
        <f t="shared" ref="O42:O57" si="4">M42-H42</f>
        <v>0</v>
      </c>
      <c r="P42" s="400">
        <f t="shared" ref="P42:P57" si="5">M42-G42</f>
        <v>1270.5999999999999</v>
      </c>
    </row>
    <row r="43" spans="1:78" ht="13.8" customHeight="1" x14ac:dyDescent="0.3">
      <c r="A43" s="384"/>
      <c r="B43" s="384"/>
      <c r="C43" s="384"/>
      <c r="D43" s="384" t="s">
        <v>36</v>
      </c>
      <c r="E43" s="384"/>
      <c r="F43" s="403">
        <v>0</v>
      </c>
      <c r="G43" s="403">
        <v>33.36</v>
      </c>
      <c r="H43" s="400">
        <v>100</v>
      </c>
      <c r="J43" s="291"/>
      <c r="L43" s="291"/>
      <c r="M43" s="374">
        <v>100</v>
      </c>
      <c r="O43" s="400">
        <f t="shared" si="4"/>
        <v>0</v>
      </c>
      <c r="P43" s="400">
        <f t="shared" si="5"/>
        <v>66.64</v>
      </c>
    </row>
    <row r="44" spans="1:78" ht="13.8" customHeight="1" x14ac:dyDescent="0.3">
      <c r="A44" s="384"/>
      <c r="B44" s="384"/>
      <c r="C44" s="384"/>
      <c r="D44" s="384" t="s">
        <v>358</v>
      </c>
      <c r="E44" s="384"/>
      <c r="F44" s="403">
        <v>0</v>
      </c>
      <c r="G44" s="403">
        <v>83.36</v>
      </c>
      <c r="H44" s="400">
        <v>250</v>
      </c>
      <c r="J44" s="291"/>
      <c r="L44" s="291"/>
      <c r="M44" s="374">
        <v>250</v>
      </c>
      <c r="O44" s="400">
        <f t="shared" si="4"/>
        <v>0</v>
      </c>
      <c r="P44" s="400">
        <f t="shared" si="5"/>
        <v>166.64</v>
      </c>
    </row>
    <row r="45" spans="1:78" ht="13.8" customHeight="1" x14ac:dyDescent="0.3">
      <c r="A45" s="384"/>
      <c r="B45" s="384"/>
      <c r="C45" s="384"/>
      <c r="D45" s="384" t="s">
        <v>37</v>
      </c>
      <c r="E45" s="384"/>
      <c r="F45" s="403">
        <v>162.96</v>
      </c>
      <c r="G45" s="403">
        <v>162.96</v>
      </c>
      <c r="H45" s="400"/>
      <c r="J45" s="291"/>
      <c r="L45" s="291"/>
      <c r="M45" s="374">
        <f t="shared" si="1"/>
        <v>0</v>
      </c>
      <c r="O45" s="400">
        <f t="shared" si="4"/>
        <v>0</v>
      </c>
      <c r="P45" s="400">
        <f t="shared" si="5"/>
        <v>-162.96</v>
      </c>
    </row>
    <row r="46" spans="1:78" ht="13.8" customHeight="1" x14ac:dyDescent="0.3">
      <c r="A46" s="384"/>
      <c r="B46" s="384"/>
      <c r="C46" s="384"/>
      <c r="D46" s="384" t="s">
        <v>38</v>
      </c>
      <c r="E46" s="384"/>
      <c r="F46" s="403">
        <v>651.02</v>
      </c>
      <c r="G46" s="403">
        <v>784.38</v>
      </c>
      <c r="H46" s="400">
        <v>400</v>
      </c>
      <c r="J46" s="291"/>
      <c r="L46" s="291"/>
      <c r="M46" s="374">
        <v>400</v>
      </c>
      <c r="O46" s="400">
        <f t="shared" si="4"/>
        <v>0</v>
      </c>
      <c r="P46" s="400">
        <f t="shared" si="5"/>
        <v>-384.38</v>
      </c>
    </row>
    <row r="47" spans="1:78" ht="13.8" customHeight="1" x14ac:dyDescent="0.3">
      <c r="A47" s="384"/>
      <c r="B47" s="384"/>
      <c r="C47" s="384"/>
      <c r="D47" s="384" t="s">
        <v>39</v>
      </c>
      <c r="E47" s="384"/>
      <c r="F47" s="403">
        <v>65.739999999999995</v>
      </c>
      <c r="G47" s="403">
        <v>132.38</v>
      </c>
      <c r="H47" s="400">
        <v>200</v>
      </c>
      <c r="J47" s="291"/>
      <c r="L47" s="291"/>
      <c r="M47" s="374">
        <v>200</v>
      </c>
      <c r="O47" s="400">
        <f t="shared" si="4"/>
        <v>0</v>
      </c>
      <c r="P47" s="400">
        <f t="shared" si="5"/>
        <v>67.62</v>
      </c>
    </row>
    <row r="48" spans="1:78" ht="13.8" customHeight="1" x14ac:dyDescent="0.3">
      <c r="A48" s="384"/>
      <c r="B48" s="384"/>
      <c r="C48" s="384"/>
      <c r="D48" s="384" t="s">
        <v>40</v>
      </c>
      <c r="E48" s="384"/>
      <c r="F48" s="403">
        <v>184.26</v>
      </c>
      <c r="G48" s="403">
        <v>417.62</v>
      </c>
      <c r="H48" s="400">
        <v>700</v>
      </c>
      <c r="J48" s="291"/>
      <c r="L48" s="291"/>
      <c r="M48" s="374">
        <v>700</v>
      </c>
      <c r="O48" s="400">
        <f t="shared" si="4"/>
        <v>0</v>
      </c>
      <c r="P48" s="400">
        <f t="shared" si="5"/>
        <v>282.38</v>
      </c>
    </row>
    <row r="49" spans="1:16" ht="13.8" customHeight="1" x14ac:dyDescent="0.3">
      <c r="A49" s="384"/>
      <c r="B49" s="384"/>
      <c r="C49" s="384"/>
      <c r="D49" s="384" t="s">
        <v>41</v>
      </c>
      <c r="E49" s="384"/>
      <c r="F49" s="403">
        <v>300</v>
      </c>
      <c r="G49" s="403">
        <v>359.36</v>
      </c>
      <c r="H49" s="400">
        <v>178</v>
      </c>
      <c r="J49" s="291"/>
      <c r="L49" s="291"/>
      <c r="M49" s="374">
        <v>200</v>
      </c>
      <c r="O49" s="400">
        <f t="shared" si="4"/>
        <v>22</v>
      </c>
      <c r="P49" s="400">
        <f t="shared" si="5"/>
        <v>-159.36000000000001</v>
      </c>
    </row>
    <row r="50" spans="1:16" ht="13.8" customHeight="1" x14ac:dyDescent="0.3">
      <c r="A50" s="384"/>
      <c r="B50" s="384"/>
      <c r="C50" s="384"/>
      <c r="D50" s="384" t="s">
        <v>42</v>
      </c>
      <c r="E50" s="384"/>
      <c r="F50" s="403">
        <v>152.25</v>
      </c>
      <c r="G50" s="403">
        <v>385.61</v>
      </c>
      <c r="H50" s="400">
        <v>700</v>
      </c>
      <c r="J50" s="291"/>
      <c r="L50" s="291"/>
      <c r="M50" s="374">
        <v>700</v>
      </c>
      <c r="O50" s="400">
        <f t="shared" si="4"/>
        <v>0</v>
      </c>
      <c r="P50" s="400">
        <f t="shared" si="5"/>
        <v>314.39</v>
      </c>
    </row>
    <row r="51" spans="1:16" ht="13.8" customHeight="1" x14ac:dyDescent="0.3">
      <c r="A51" s="384"/>
      <c r="B51" s="384"/>
      <c r="C51" s="384"/>
      <c r="D51" s="384" t="s">
        <v>43</v>
      </c>
      <c r="E51" s="384"/>
      <c r="F51" s="403">
        <v>-50</v>
      </c>
      <c r="G51" s="403">
        <v>0</v>
      </c>
      <c r="H51" s="400">
        <v>150</v>
      </c>
      <c r="J51" s="291"/>
      <c r="L51" s="291"/>
      <c r="M51" s="374">
        <v>200</v>
      </c>
      <c r="O51" s="400">
        <f t="shared" si="4"/>
        <v>50</v>
      </c>
      <c r="P51" s="400">
        <f t="shared" si="5"/>
        <v>200</v>
      </c>
    </row>
    <row r="52" spans="1:16" ht="13.8" customHeight="1" x14ac:dyDescent="0.3">
      <c r="A52" s="384"/>
      <c r="B52" s="384"/>
      <c r="C52" s="384"/>
      <c r="D52" s="384" t="s">
        <v>44</v>
      </c>
      <c r="E52" s="384"/>
      <c r="F52" s="403">
        <v>257.94</v>
      </c>
      <c r="G52" s="403">
        <v>257.94</v>
      </c>
      <c r="H52" s="400">
        <v>2000</v>
      </c>
      <c r="J52" s="291"/>
      <c r="L52" s="291"/>
      <c r="M52" s="374">
        <v>2000</v>
      </c>
      <c r="O52" s="400">
        <f t="shared" si="4"/>
        <v>0</v>
      </c>
      <c r="P52" s="400">
        <f t="shared" si="5"/>
        <v>1742.06</v>
      </c>
    </row>
    <row r="53" spans="1:16" ht="13.8" customHeight="1" x14ac:dyDescent="0.3">
      <c r="A53" s="384"/>
      <c r="B53" s="384"/>
      <c r="C53" s="384"/>
      <c r="D53" s="384" t="s">
        <v>45</v>
      </c>
      <c r="E53" s="384"/>
      <c r="F53" s="403"/>
      <c r="G53" s="403"/>
      <c r="H53" s="400"/>
      <c r="J53" s="291"/>
      <c r="L53" s="291"/>
      <c r="M53" s="374">
        <f t="shared" si="1"/>
        <v>0</v>
      </c>
      <c r="O53" s="400">
        <f t="shared" si="4"/>
        <v>0</v>
      </c>
      <c r="P53" s="400">
        <f t="shared" si="5"/>
        <v>0</v>
      </c>
    </row>
    <row r="54" spans="1:16" ht="13.8" customHeight="1" x14ac:dyDescent="0.3">
      <c r="A54" s="384"/>
      <c r="B54" s="384"/>
      <c r="C54" s="384"/>
      <c r="D54" s="384"/>
      <c r="E54" s="384" t="s">
        <v>46</v>
      </c>
      <c r="F54" s="403">
        <v>0</v>
      </c>
      <c r="G54" s="403">
        <v>0</v>
      </c>
      <c r="H54" s="400">
        <v>200</v>
      </c>
      <c r="J54" s="291"/>
      <c r="L54" s="291"/>
      <c r="M54" s="374">
        <v>200</v>
      </c>
      <c r="O54" s="400">
        <f t="shared" si="4"/>
        <v>0</v>
      </c>
      <c r="P54" s="400">
        <f t="shared" si="5"/>
        <v>200</v>
      </c>
    </row>
    <row r="55" spans="1:16" ht="13.8" customHeight="1" x14ac:dyDescent="0.3">
      <c r="A55" s="384"/>
      <c r="B55" s="384"/>
      <c r="C55" s="384"/>
      <c r="D55" s="384"/>
      <c r="E55" s="384" t="s">
        <v>47</v>
      </c>
      <c r="F55" s="403">
        <v>143.04</v>
      </c>
      <c r="G55" s="403">
        <v>326.39999999999998</v>
      </c>
      <c r="H55" s="400">
        <v>550</v>
      </c>
      <c r="J55" s="291"/>
      <c r="L55" s="291"/>
      <c r="M55" s="374">
        <v>550</v>
      </c>
      <c r="O55" s="400">
        <f t="shared" si="4"/>
        <v>0</v>
      </c>
      <c r="P55" s="400">
        <f t="shared" si="5"/>
        <v>223.60000000000002</v>
      </c>
    </row>
    <row r="56" spans="1:16" ht="13.8" customHeight="1" x14ac:dyDescent="0.3">
      <c r="A56" s="384"/>
      <c r="B56" s="384"/>
      <c r="C56" s="384"/>
      <c r="D56" s="384"/>
      <c r="E56" s="384" t="s">
        <v>48</v>
      </c>
      <c r="F56" s="403">
        <v>0</v>
      </c>
      <c r="G56" s="403">
        <v>0</v>
      </c>
      <c r="H56" s="400">
        <v>500</v>
      </c>
      <c r="J56" s="291"/>
      <c r="L56" s="291"/>
      <c r="M56" s="374">
        <v>500</v>
      </c>
      <c r="O56" s="400">
        <f t="shared" si="4"/>
        <v>0</v>
      </c>
      <c r="P56" s="400">
        <f t="shared" si="5"/>
        <v>500</v>
      </c>
    </row>
    <row r="57" spans="1:16" ht="13.8" customHeight="1" thickBot="1" x14ac:dyDescent="0.35">
      <c r="A57" s="384"/>
      <c r="B57" s="384"/>
      <c r="C57" s="384"/>
      <c r="D57" s="384"/>
      <c r="E57" s="384" t="s">
        <v>49</v>
      </c>
      <c r="F57" s="403">
        <v>60</v>
      </c>
      <c r="G57" s="403">
        <v>60</v>
      </c>
      <c r="H57" s="404">
        <v>300</v>
      </c>
      <c r="J57" s="293"/>
      <c r="L57" s="293"/>
      <c r="M57" s="377">
        <v>300</v>
      </c>
      <c r="O57" s="400">
        <f t="shared" si="4"/>
        <v>0</v>
      </c>
      <c r="P57" s="400">
        <f t="shared" si="5"/>
        <v>240</v>
      </c>
    </row>
    <row r="58" spans="1:16" ht="13.8" customHeight="1" thickBot="1" x14ac:dyDescent="0.35">
      <c r="A58" s="384"/>
      <c r="B58" s="384"/>
      <c r="C58" s="384"/>
      <c r="D58" s="384" t="s">
        <v>50</v>
      </c>
      <c r="E58" s="384"/>
      <c r="F58" s="420">
        <v>203.04</v>
      </c>
      <c r="G58" s="420">
        <f>SUM(G54:G57)</f>
        <v>386.4</v>
      </c>
      <c r="H58" s="408">
        <v>1550</v>
      </c>
      <c r="J58" s="295"/>
      <c r="L58" s="295"/>
      <c r="M58" s="380">
        <f>SUM(M54:M57)</f>
        <v>1550</v>
      </c>
      <c r="O58" s="408">
        <f t="shared" si="2"/>
        <v>0</v>
      </c>
      <c r="P58" s="408">
        <f t="shared" si="3"/>
        <v>1163.5999999999999</v>
      </c>
    </row>
    <row r="59" spans="1:16" ht="13.8" customHeight="1" x14ac:dyDescent="0.3">
      <c r="A59" s="384"/>
      <c r="B59" s="384"/>
      <c r="C59" s="384" t="s">
        <v>51</v>
      </c>
      <c r="D59" s="384"/>
      <c r="E59" s="384"/>
      <c r="F59" s="403">
        <v>2656.61</v>
      </c>
      <c r="G59" s="403">
        <f>SUM(G42:G57)</f>
        <v>3732.7700000000004</v>
      </c>
      <c r="H59" s="400">
        <v>8228</v>
      </c>
      <c r="I59" s="401"/>
      <c r="J59" s="291">
        <v>8300</v>
      </c>
      <c r="K59" s="346" t="s">
        <v>381</v>
      </c>
      <c r="L59" s="291"/>
      <c r="M59" s="428">
        <f>+M58+SUM(M42:M53)</f>
        <v>8300</v>
      </c>
      <c r="N59" s="401"/>
      <c r="O59" s="400">
        <f t="shared" si="2"/>
        <v>72</v>
      </c>
      <c r="P59" s="400">
        <f t="shared" si="3"/>
        <v>4567.2299999999996</v>
      </c>
    </row>
    <row r="60" spans="1:16" ht="13.8" customHeight="1" x14ac:dyDescent="0.3">
      <c r="A60" s="384"/>
      <c r="B60" s="384"/>
      <c r="C60" s="384" t="s">
        <v>52</v>
      </c>
      <c r="D60" s="384"/>
      <c r="E60" s="384"/>
      <c r="F60" s="403"/>
      <c r="G60" s="403"/>
      <c r="H60" s="400"/>
      <c r="J60" s="291"/>
      <c r="L60" s="291"/>
      <c r="M60" s="374"/>
      <c r="O60" s="400"/>
      <c r="P60" s="400"/>
    </row>
    <row r="61" spans="1:16" ht="13.8" customHeight="1" x14ac:dyDescent="0.3">
      <c r="A61" s="384"/>
      <c r="B61" s="384"/>
      <c r="C61" s="384"/>
      <c r="D61" s="384" t="s">
        <v>53</v>
      </c>
      <c r="E61" s="384"/>
      <c r="F61" s="403"/>
      <c r="G61" s="403"/>
      <c r="H61" s="400"/>
      <c r="J61" s="291"/>
      <c r="L61" s="291"/>
      <c r="M61" s="374"/>
      <c r="O61" s="400"/>
      <c r="P61" s="400"/>
    </row>
    <row r="62" spans="1:16" ht="13.8" customHeight="1" x14ac:dyDescent="0.3">
      <c r="A62" s="384"/>
      <c r="B62" s="384"/>
      <c r="C62" s="384"/>
      <c r="D62" s="384"/>
      <c r="E62" s="384" t="s">
        <v>54</v>
      </c>
      <c r="F62" s="403">
        <v>452.26</v>
      </c>
      <c r="G62" s="403">
        <v>452.26</v>
      </c>
      <c r="H62" s="400">
        <v>800</v>
      </c>
      <c r="J62" s="291"/>
      <c r="L62" s="291"/>
      <c r="M62" s="374">
        <v>800</v>
      </c>
      <c r="O62" s="400">
        <f t="shared" ref="O62:O64" si="6">M62-H62</f>
        <v>0</v>
      </c>
      <c r="P62" s="400">
        <f t="shared" ref="P62:P64" si="7">M62-G62</f>
        <v>347.74</v>
      </c>
    </row>
    <row r="63" spans="1:16" ht="13.8" customHeight="1" x14ac:dyDescent="0.3">
      <c r="A63" s="384"/>
      <c r="B63" s="384"/>
      <c r="C63" s="384"/>
      <c r="D63" s="384"/>
      <c r="E63" s="384" t="s">
        <v>55</v>
      </c>
      <c r="F63" s="403">
        <v>150</v>
      </c>
      <c r="G63" s="403">
        <v>150</v>
      </c>
      <c r="H63" s="400">
        <v>700</v>
      </c>
      <c r="J63" s="291"/>
      <c r="L63" s="291"/>
      <c r="M63" s="374">
        <v>700</v>
      </c>
      <c r="O63" s="400">
        <f t="shared" si="6"/>
        <v>0</v>
      </c>
      <c r="P63" s="400">
        <f t="shared" si="7"/>
        <v>550</v>
      </c>
    </row>
    <row r="64" spans="1:16" ht="13.8" customHeight="1" thickBot="1" x14ac:dyDescent="0.35">
      <c r="A64" s="384"/>
      <c r="B64" s="384"/>
      <c r="C64" s="384"/>
      <c r="D64" s="384"/>
      <c r="E64" s="384" t="s">
        <v>56</v>
      </c>
      <c r="F64" s="416">
        <v>0</v>
      </c>
      <c r="G64" s="416">
        <v>0</v>
      </c>
      <c r="H64" s="402">
        <v>500</v>
      </c>
      <c r="J64" s="292"/>
      <c r="L64" s="292"/>
      <c r="M64" s="375">
        <v>500</v>
      </c>
      <c r="O64" s="400">
        <f t="shared" si="6"/>
        <v>0</v>
      </c>
      <c r="P64" s="400">
        <f t="shared" si="7"/>
        <v>500</v>
      </c>
    </row>
    <row r="65" spans="1:16" ht="13.8" customHeight="1" x14ac:dyDescent="0.3">
      <c r="A65" s="384"/>
      <c r="B65" s="384"/>
      <c r="C65" s="384"/>
      <c r="D65" s="384" t="s">
        <v>57</v>
      </c>
      <c r="E65" s="384"/>
      <c r="F65" s="403">
        <v>602.26</v>
      </c>
      <c r="G65" s="403">
        <f>SUM(G62:G64)</f>
        <v>602.26</v>
      </c>
      <c r="H65" s="400">
        <v>2000</v>
      </c>
      <c r="I65" s="401"/>
      <c r="J65" s="291">
        <v>2000</v>
      </c>
      <c r="K65" s="346" t="s">
        <v>381</v>
      </c>
      <c r="L65" s="291"/>
      <c r="M65" s="374">
        <f>SUM(M62:M64)</f>
        <v>2000</v>
      </c>
      <c r="N65" s="401"/>
      <c r="O65" s="400">
        <f t="shared" si="2"/>
        <v>0</v>
      </c>
      <c r="P65" s="400">
        <f t="shared" si="3"/>
        <v>1397.74</v>
      </c>
    </row>
    <row r="66" spans="1:16" ht="13.8" customHeight="1" x14ac:dyDescent="0.3">
      <c r="A66" s="384"/>
      <c r="B66" s="384"/>
      <c r="C66" s="384"/>
      <c r="D66" s="384" t="s">
        <v>58</v>
      </c>
      <c r="E66" s="384"/>
      <c r="F66" s="403"/>
      <c r="G66" s="403"/>
      <c r="H66" s="400"/>
      <c r="J66" s="291"/>
      <c r="L66" s="291"/>
      <c r="M66" s="374"/>
      <c r="O66" s="400"/>
      <c r="P66" s="400"/>
    </row>
    <row r="67" spans="1:16" ht="13.8" customHeight="1" x14ac:dyDescent="0.3">
      <c r="A67" s="384"/>
      <c r="B67" s="384"/>
      <c r="C67" s="384"/>
      <c r="D67" s="384"/>
      <c r="E67" s="384" t="s">
        <v>59</v>
      </c>
      <c r="F67" s="403">
        <v>56.94</v>
      </c>
      <c r="G67" s="403">
        <v>73.58</v>
      </c>
      <c r="H67" s="400">
        <v>50</v>
      </c>
      <c r="J67" s="291"/>
      <c r="L67" s="291"/>
      <c r="M67" s="374">
        <v>50</v>
      </c>
      <c r="O67" s="400">
        <f t="shared" ref="O67:O75" si="8">M67-H67</f>
        <v>0</v>
      </c>
      <c r="P67" s="400">
        <f t="shared" ref="P67:P75" si="9">M67-G67</f>
        <v>-23.58</v>
      </c>
    </row>
    <row r="68" spans="1:16" ht="13.8" customHeight="1" x14ac:dyDescent="0.3">
      <c r="A68" s="384"/>
      <c r="B68" s="384"/>
      <c r="C68" s="384"/>
      <c r="D68" s="384"/>
      <c r="E68" s="384" t="s">
        <v>60</v>
      </c>
      <c r="F68" s="403">
        <v>2425</v>
      </c>
      <c r="G68" s="403">
        <v>4102.3600000000006</v>
      </c>
      <c r="H68" s="400">
        <v>5032</v>
      </c>
      <c r="J68" s="291"/>
      <c r="L68" s="291"/>
      <c r="M68" s="374">
        <v>5032</v>
      </c>
      <c r="O68" s="400">
        <f t="shared" si="8"/>
        <v>0</v>
      </c>
      <c r="P68" s="400">
        <f t="shared" si="9"/>
        <v>929.63999999999942</v>
      </c>
    </row>
    <row r="69" spans="1:16" ht="13.8" customHeight="1" x14ac:dyDescent="0.3">
      <c r="A69" s="384"/>
      <c r="B69" s="384"/>
      <c r="C69" s="384"/>
      <c r="D69" s="384"/>
      <c r="E69" s="384" t="s">
        <v>61</v>
      </c>
      <c r="F69" s="403">
        <v>0</v>
      </c>
      <c r="G69" s="403">
        <v>100</v>
      </c>
      <c r="H69" s="400">
        <v>300</v>
      </c>
      <c r="J69" s="291"/>
      <c r="L69" s="291"/>
      <c r="M69" s="374">
        <v>300</v>
      </c>
      <c r="O69" s="400">
        <f t="shared" si="8"/>
        <v>0</v>
      </c>
      <c r="P69" s="400">
        <f t="shared" si="9"/>
        <v>200</v>
      </c>
    </row>
    <row r="70" spans="1:16" ht="13.8" customHeight="1" x14ac:dyDescent="0.3">
      <c r="A70" s="384"/>
      <c r="B70" s="384"/>
      <c r="C70" s="384"/>
      <c r="D70" s="384"/>
      <c r="E70" s="384" t="s">
        <v>62</v>
      </c>
      <c r="F70" s="403">
        <v>461.73</v>
      </c>
      <c r="G70" s="403">
        <v>595.09</v>
      </c>
      <c r="H70" s="400">
        <v>400</v>
      </c>
      <c r="J70" s="291"/>
      <c r="L70" s="291"/>
      <c r="M70" s="374">
        <v>400</v>
      </c>
      <c r="O70" s="400">
        <f t="shared" si="8"/>
        <v>0</v>
      </c>
      <c r="P70" s="400">
        <f t="shared" si="9"/>
        <v>-195.09000000000003</v>
      </c>
    </row>
    <row r="71" spans="1:16" ht="13.8" customHeight="1" x14ac:dyDescent="0.3">
      <c r="A71" s="384"/>
      <c r="B71" s="384"/>
      <c r="C71" s="384"/>
      <c r="D71" s="384"/>
      <c r="E71" s="384" t="s">
        <v>359</v>
      </c>
      <c r="F71" s="403">
        <v>1852.5</v>
      </c>
      <c r="G71" s="403">
        <v>3185.86</v>
      </c>
      <c r="H71" s="400">
        <v>4000</v>
      </c>
      <c r="J71" s="291"/>
      <c r="L71" s="291"/>
      <c r="M71" s="374">
        <v>4000</v>
      </c>
      <c r="O71" s="400">
        <f t="shared" si="8"/>
        <v>0</v>
      </c>
      <c r="P71" s="400">
        <f t="shared" si="9"/>
        <v>814.13999999999987</v>
      </c>
    </row>
    <row r="72" spans="1:16" ht="13.8" customHeight="1" x14ac:dyDescent="0.3">
      <c r="A72" s="384"/>
      <c r="B72" s="384"/>
      <c r="C72" s="384"/>
      <c r="D72" s="384"/>
      <c r="E72" s="384" t="s">
        <v>63</v>
      </c>
      <c r="F72" s="403">
        <v>1804.58</v>
      </c>
      <c r="G72" s="403">
        <v>2799.94</v>
      </c>
      <c r="H72" s="400">
        <v>2800</v>
      </c>
      <c r="J72" s="291"/>
      <c r="L72" s="291"/>
      <c r="M72" s="374">
        <v>2800</v>
      </c>
      <c r="O72" s="400">
        <f t="shared" si="8"/>
        <v>0</v>
      </c>
      <c r="P72" s="400">
        <f t="shared" si="9"/>
        <v>5.999999999994543E-2</v>
      </c>
    </row>
    <row r="73" spans="1:16" ht="13.8" customHeight="1" x14ac:dyDescent="0.3">
      <c r="A73" s="384"/>
      <c r="B73" s="384"/>
      <c r="C73" s="384"/>
      <c r="D73" s="384"/>
      <c r="E73" s="384" t="s">
        <v>64</v>
      </c>
      <c r="F73" s="403">
        <v>1075.1300000000001</v>
      </c>
      <c r="G73" s="403">
        <v>1415.77</v>
      </c>
      <c r="H73" s="400">
        <v>1622</v>
      </c>
      <c r="J73" s="291"/>
      <c r="L73" s="291"/>
      <c r="M73" s="374">
        <v>1622</v>
      </c>
      <c r="O73" s="400">
        <f t="shared" si="8"/>
        <v>0</v>
      </c>
      <c r="P73" s="400">
        <f t="shared" si="9"/>
        <v>206.23000000000002</v>
      </c>
    </row>
    <row r="74" spans="1:16" ht="13.8" customHeight="1" x14ac:dyDescent="0.3">
      <c r="A74" s="384"/>
      <c r="B74" s="384"/>
      <c r="C74" s="384"/>
      <c r="D74" s="384"/>
      <c r="E74" s="384" t="s">
        <v>65</v>
      </c>
      <c r="F74" s="403">
        <v>340.72</v>
      </c>
      <c r="G74" s="403">
        <v>340.72</v>
      </c>
      <c r="H74" s="400">
        <v>1450</v>
      </c>
      <c r="J74" s="291"/>
      <c r="L74" s="291"/>
      <c r="M74" s="374">
        <v>1450</v>
      </c>
      <c r="O74" s="400">
        <f t="shared" si="8"/>
        <v>0</v>
      </c>
      <c r="P74" s="400">
        <f t="shared" si="9"/>
        <v>1109.28</v>
      </c>
    </row>
    <row r="75" spans="1:16" ht="13.8" customHeight="1" thickBot="1" x14ac:dyDescent="0.35">
      <c r="A75" s="384"/>
      <c r="B75" s="384"/>
      <c r="C75" s="384"/>
      <c r="D75" s="384"/>
      <c r="E75" s="384" t="s">
        <v>45</v>
      </c>
      <c r="F75" s="416">
        <v>165.99</v>
      </c>
      <c r="G75" s="416">
        <v>165.99</v>
      </c>
      <c r="H75" s="402">
        <v>200</v>
      </c>
      <c r="J75" s="292"/>
      <c r="L75" s="292"/>
      <c r="M75" s="375">
        <v>200</v>
      </c>
      <c r="O75" s="400">
        <f t="shared" si="8"/>
        <v>0</v>
      </c>
      <c r="P75" s="400">
        <f t="shared" si="9"/>
        <v>34.009999999999991</v>
      </c>
    </row>
    <row r="76" spans="1:16" ht="13.8" customHeight="1" x14ac:dyDescent="0.3">
      <c r="A76" s="384"/>
      <c r="B76" s="384"/>
      <c r="C76" s="384"/>
      <c r="D76" s="384" t="s">
        <v>66</v>
      </c>
      <c r="E76" s="384"/>
      <c r="F76" s="403">
        <v>8182.59</v>
      </c>
      <c r="G76" s="403">
        <f>SUM(G67:G75)</f>
        <v>12779.310000000001</v>
      </c>
      <c r="H76" s="400">
        <v>15854</v>
      </c>
      <c r="I76" s="401"/>
      <c r="J76" s="291">
        <v>15854</v>
      </c>
      <c r="K76" s="346" t="s">
        <v>381</v>
      </c>
      <c r="L76" s="291"/>
      <c r="M76" s="374">
        <f>SUM(M67:M75)</f>
        <v>15854</v>
      </c>
      <c r="N76" s="401"/>
      <c r="O76" s="400">
        <f t="shared" ref="O76:O131" si="10">M76-H76</f>
        <v>0</v>
      </c>
      <c r="P76" s="400">
        <f t="shared" ref="P76:P131" si="11">M76-G76</f>
        <v>3074.6899999999987</v>
      </c>
    </row>
    <row r="77" spans="1:16" ht="13.8" customHeight="1" x14ac:dyDescent="0.3">
      <c r="A77" s="384"/>
      <c r="B77" s="384"/>
      <c r="C77" s="384"/>
      <c r="D77" s="384" t="s">
        <v>67</v>
      </c>
      <c r="E77" s="384"/>
      <c r="F77" s="403"/>
      <c r="G77" s="403"/>
      <c r="H77" s="400"/>
      <c r="J77" s="291"/>
      <c r="L77" s="291"/>
      <c r="M77" s="374"/>
      <c r="O77" s="400"/>
      <c r="P77" s="400"/>
    </row>
    <row r="78" spans="1:16" ht="13.8" customHeight="1" x14ac:dyDescent="0.3">
      <c r="A78" s="384"/>
      <c r="B78" s="384"/>
      <c r="C78" s="384"/>
      <c r="D78" s="384"/>
      <c r="E78" s="384" t="s">
        <v>360</v>
      </c>
      <c r="F78" s="403">
        <v>0</v>
      </c>
      <c r="G78" s="403">
        <v>100.36</v>
      </c>
      <c r="H78" s="400">
        <v>100</v>
      </c>
      <c r="J78" s="291">
        <v>100</v>
      </c>
      <c r="L78" s="291"/>
      <c r="M78" s="374">
        <f t="shared" ref="M78:M139" si="12">L78+J78</f>
        <v>100</v>
      </c>
      <c r="O78" s="400">
        <f t="shared" ref="O78:O84" si="13">M78-H78</f>
        <v>0</v>
      </c>
      <c r="P78" s="400">
        <f t="shared" ref="P78:P84" si="14">M78-G78</f>
        <v>-0.35999999999999943</v>
      </c>
    </row>
    <row r="79" spans="1:16" ht="13.8" customHeight="1" x14ac:dyDescent="0.3">
      <c r="A79" s="384"/>
      <c r="B79" s="384"/>
      <c r="C79" s="384"/>
      <c r="D79" s="384"/>
      <c r="E79" s="384" t="s">
        <v>68</v>
      </c>
      <c r="F79" s="403">
        <v>0</v>
      </c>
      <c r="G79" s="403">
        <v>1821.95</v>
      </c>
      <c r="H79" s="400">
        <v>2765.95</v>
      </c>
      <c r="J79" s="291">
        <f>J11*0.13</f>
        <v>2458.500798</v>
      </c>
      <c r="K79" s="346" t="s">
        <v>415</v>
      </c>
      <c r="L79" s="291"/>
      <c r="M79" s="374">
        <f t="shared" si="12"/>
        <v>2458.500798</v>
      </c>
      <c r="O79" s="400">
        <f t="shared" si="13"/>
        <v>-307.44920199999979</v>
      </c>
      <c r="P79" s="400">
        <f t="shared" si="14"/>
        <v>636.55079799999999</v>
      </c>
    </row>
    <row r="80" spans="1:16" ht="13.8" customHeight="1" x14ac:dyDescent="0.3">
      <c r="A80" s="384"/>
      <c r="B80" s="384"/>
      <c r="C80" s="384"/>
      <c r="D80" s="384"/>
      <c r="E80" s="384" t="s">
        <v>69</v>
      </c>
      <c r="F80" s="403">
        <v>0</v>
      </c>
      <c r="G80" s="403">
        <v>199.64</v>
      </c>
      <c r="H80" s="400">
        <v>200</v>
      </c>
      <c r="J80" s="291">
        <v>200</v>
      </c>
      <c r="L80" s="291"/>
      <c r="M80" s="374">
        <f t="shared" si="12"/>
        <v>200</v>
      </c>
      <c r="O80" s="400">
        <f t="shared" si="13"/>
        <v>0</v>
      </c>
      <c r="P80" s="400">
        <f t="shared" si="14"/>
        <v>0.36000000000001364</v>
      </c>
    </row>
    <row r="81" spans="1:18" ht="13.8" customHeight="1" x14ac:dyDescent="0.3">
      <c r="A81" s="384"/>
      <c r="B81" s="384"/>
      <c r="C81" s="384"/>
      <c r="D81" s="384"/>
      <c r="E81" s="384" t="s">
        <v>174</v>
      </c>
      <c r="F81" s="403">
        <v>0</v>
      </c>
      <c r="G81" s="403">
        <v>416.64</v>
      </c>
      <c r="H81" s="400">
        <v>500</v>
      </c>
      <c r="J81" s="291">
        <v>500</v>
      </c>
      <c r="L81" s="291"/>
      <c r="M81" s="374">
        <f t="shared" si="12"/>
        <v>500</v>
      </c>
      <c r="O81" s="400">
        <f t="shared" si="13"/>
        <v>0</v>
      </c>
      <c r="P81" s="400">
        <f t="shared" si="14"/>
        <v>83.360000000000014</v>
      </c>
    </row>
    <row r="82" spans="1:18" ht="13.8" customHeight="1" x14ac:dyDescent="0.3">
      <c r="A82" s="384"/>
      <c r="B82" s="384"/>
      <c r="C82" s="384"/>
      <c r="D82" s="384"/>
      <c r="E82" s="384" t="s">
        <v>361</v>
      </c>
      <c r="F82" s="403">
        <v>-76.81</v>
      </c>
      <c r="G82" s="403">
        <v>56.550000000000011</v>
      </c>
      <c r="H82" s="400">
        <v>100</v>
      </c>
      <c r="J82" s="291">
        <v>100</v>
      </c>
      <c r="L82" s="291"/>
      <c r="M82" s="374">
        <f t="shared" si="12"/>
        <v>100</v>
      </c>
      <c r="O82" s="400">
        <f t="shared" si="13"/>
        <v>0</v>
      </c>
      <c r="P82" s="400">
        <f t="shared" si="14"/>
        <v>43.449999999999989</v>
      </c>
    </row>
    <row r="83" spans="1:18" ht="13.8" customHeight="1" x14ac:dyDescent="0.3">
      <c r="A83" s="384"/>
      <c r="B83" s="384"/>
      <c r="C83" s="384"/>
      <c r="D83" s="384"/>
      <c r="E83" s="384" t="s">
        <v>56</v>
      </c>
      <c r="F83" s="403">
        <v>238.89</v>
      </c>
      <c r="G83" s="403">
        <v>238.89</v>
      </c>
      <c r="H83" s="400">
        <v>250</v>
      </c>
      <c r="J83" s="291">
        <v>250</v>
      </c>
      <c r="L83" s="291"/>
      <c r="M83" s="374">
        <f t="shared" si="12"/>
        <v>250</v>
      </c>
      <c r="O83" s="400">
        <f t="shared" si="13"/>
        <v>0</v>
      </c>
      <c r="P83" s="400">
        <f t="shared" si="14"/>
        <v>11.110000000000014</v>
      </c>
    </row>
    <row r="84" spans="1:18" ht="13.8" customHeight="1" thickBot="1" x14ac:dyDescent="0.35">
      <c r="A84" s="384"/>
      <c r="B84" s="384"/>
      <c r="C84" s="384"/>
      <c r="D84" s="384"/>
      <c r="E84" s="384" t="s">
        <v>70</v>
      </c>
      <c r="F84" s="403">
        <v>0</v>
      </c>
      <c r="G84" s="403">
        <v>1000.36</v>
      </c>
      <c r="H84" s="404">
        <v>1000</v>
      </c>
      <c r="J84" s="293">
        <v>1000</v>
      </c>
      <c r="L84" s="293"/>
      <c r="M84" s="377">
        <f t="shared" si="12"/>
        <v>1000</v>
      </c>
      <c r="O84" s="400">
        <f t="shared" si="13"/>
        <v>0</v>
      </c>
      <c r="P84" s="400">
        <f t="shared" si="14"/>
        <v>-0.36000000000001364</v>
      </c>
    </row>
    <row r="85" spans="1:18" ht="13.8" customHeight="1" thickBot="1" x14ac:dyDescent="0.35">
      <c r="A85" s="384"/>
      <c r="B85" s="384"/>
      <c r="C85" s="384"/>
      <c r="D85" s="384" t="s">
        <v>71</v>
      </c>
      <c r="E85" s="384"/>
      <c r="F85" s="420">
        <v>162.08000000000001</v>
      </c>
      <c r="G85" s="420">
        <f>SUM(G78:G84)</f>
        <v>3834.39</v>
      </c>
      <c r="H85" s="408">
        <v>4915.95</v>
      </c>
      <c r="J85" s="295">
        <f>SUM(J78:J84)</f>
        <v>4608.500798</v>
      </c>
      <c r="L85" s="295"/>
      <c r="M85" s="380">
        <f>SUM(M78:M84)</f>
        <v>4608.500798</v>
      </c>
      <c r="O85" s="408">
        <f t="shared" si="10"/>
        <v>-307.44920199999979</v>
      </c>
      <c r="P85" s="408">
        <f t="shared" si="11"/>
        <v>774.11079800000016</v>
      </c>
    </row>
    <row r="86" spans="1:18" ht="13.8" customHeight="1" x14ac:dyDescent="0.3">
      <c r="A86" s="384"/>
      <c r="B86" s="384"/>
      <c r="C86" s="384" t="s">
        <v>72</v>
      </c>
      <c r="D86" s="384"/>
      <c r="E86" s="384"/>
      <c r="F86" s="403">
        <v>8946.93</v>
      </c>
      <c r="G86" s="403">
        <f>ROUND(G60+G65+G76+G85,5)</f>
        <v>17215.96</v>
      </c>
      <c r="H86" s="403">
        <f>ROUND(H60+H65+H76+H85,5)</f>
        <v>22769.95</v>
      </c>
      <c r="I86" s="401"/>
      <c r="J86" s="296">
        <f>ROUND(J60+J65+J76+J85,5)</f>
        <v>22462.500800000002</v>
      </c>
      <c r="L86" s="296"/>
      <c r="M86" s="376">
        <f>+M85+M76+M65</f>
        <v>22462.500798000001</v>
      </c>
      <c r="N86" s="401"/>
      <c r="O86" s="403">
        <f t="shared" si="10"/>
        <v>-307.44920199999979</v>
      </c>
      <c r="P86" s="403">
        <f t="shared" si="11"/>
        <v>5246.5407980000018</v>
      </c>
    </row>
    <row r="87" spans="1:18" ht="13.8" customHeight="1" x14ac:dyDescent="0.3">
      <c r="A87" s="384"/>
      <c r="B87" s="384"/>
      <c r="C87" s="384" t="s">
        <v>73</v>
      </c>
      <c r="D87" s="384"/>
      <c r="E87" s="384"/>
      <c r="F87" s="403"/>
      <c r="G87" s="403"/>
      <c r="H87" s="400"/>
      <c r="J87" s="291"/>
      <c r="L87" s="291"/>
      <c r="M87" s="374"/>
      <c r="O87" s="400"/>
      <c r="P87" s="400"/>
    </row>
    <row r="88" spans="1:18" ht="13.8" customHeight="1" x14ac:dyDescent="0.3">
      <c r="A88" s="384"/>
      <c r="B88" s="384"/>
      <c r="C88" s="384"/>
      <c r="D88" s="384" t="s">
        <v>74</v>
      </c>
      <c r="E88" s="384"/>
      <c r="F88" s="403"/>
      <c r="G88" s="403"/>
      <c r="H88" s="400"/>
      <c r="J88" s="291"/>
      <c r="L88" s="291"/>
      <c r="M88" s="374"/>
      <c r="O88" s="400"/>
      <c r="P88" s="400"/>
    </row>
    <row r="89" spans="1:18" ht="13.8" customHeight="1" x14ac:dyDescent="0.3">
      <c r="A89" s="384"/>
      <c r="B89" s="384"/>
      <c r="C89" s="384"/>
      <c r="D89" s="384"/>
      <c r="E89" s="384" t="s">
        <v>75</v>
      </c>
      <c r="F89" s="403">
        <v>581.6</v>
      </c>
      <c r="G89" s="403">
        <v>864.16000000000008</v>
      </c>
      <c r="H89" s="400">
        <v>847.68</v>
      </c>
      <c r="J89" s="291">
        <v>847.68</v>
      </c>
      <c r="L89" s="291"/>
      <c r="M89" s="374">
        <v>864.6336</v>
      </c>
      <c r="O89" s="400">
        <f t="shared" si="10"/>
        <v>16.953600000000051</v>
      </c>
      <c r="P89" s="400">
        <f t="shared" si="11"/>
        <v>0.47359999999991942</v>
      </c>
      <c r="R89" s="435"/>
    </row>
    <row r="90" spans="1:18" ht="13.8" customHeight="1" x14ac:dyDescent="0.3">
      <c r="A90" s="384"/>
      <c r="B90" s="384"/>
      <c r="C90" s="384"/>
      <c r="D90" s="384"/>
      <c r="E90" s="384" t="s">
        <v>76</v>
      </c>
      <c r="F90" s="403">
        <v>16666.72</v>
      </c>
      <c r="G90" s="403">
        <v>25000.080000000002</v>
      </c>
      <c r="H90" s="400">
        <v>25000</v>
      </c>
      <c r="J90" s="291">
        <v>25000</v>
      </c>
      <c r="L90" s="291"/>
      <c r="M90" s="374">
        <v>25500</v>
      </c>
      <c r="O90" s="400">
        <f t="shared" si="10"/>
        <v>500</v>
      </c>
      <c r="P90" s="400">
        <f t="shared" si="11"/>
        <v>499.91999999999825</v>
      </c>
      <c r="R90" s="435"/>
    </row>
    <row r="91" spans="1:18" ht="13.8" customHeight="1" x14ac:dyDescent="0.3">
      <c r="A91" s="384"/>
      <c r="B91" s="384"/>
      <c r="C91" s="384"/>
      <c r="D91" s="384"/>
      <c r="E91" s="384" t="s">
        <v>77</v>
      </c>
      <c r="F91" s="421">
        <v>6292.25</v>
      </c>
      <c r="G91" s="403">
        <v>8411.81</v>
      </c>
      <c r="H91" s="400">
        <v>8476.76</v>
      </c>
      <c r="J91" s="291">
        <v>8476.76</v>
      </c>
      <c r="L91" s="291"/>
      <c r="M91" s="374">
        <v>8646.2952000000005</v>
      </c>
      <c r="O91" s="400">
        <f t="shared" si="10"/>
        <v>169.53520000000026</v>
      </c>
      <c r="P91" s="400">
        <f t="shared" si="11"/>
        <v>234.48520000000099</v>
      </c>
      <c r="R91" s="435"/>
    </row>
    <row r="92" spans="1:18" ht="13.8" customHeight="1" x14ac:dyDescent="0.3">
      <c r="A92" s="384"/>
      <c r="B92" s="384"/>
      <c r="C92" s="384"/>
      <c r="D92" s="384"/>
      <c r="E92" s="384" t="s">
        <v>78</v>
      </c>
      <c r="F92" s="403">
        <v>8161.78</v>
      </c>
      <c r="G92" s="403">
        <v>10540.73</v>
      </c>
      <c r="H92" s="400">
        <v>10541.79</v>
      </c>
      <c r="J92" s="291">
        <v>10541.79</v>
      </c>
      <c r="L92" s="291"/>
      <c r="M92" s="374">
        <v>10752.625800000002</v>
      </c>
      <c r="O92" s="400">
        <f t="shared" si="10"/>
        <v>210.83580000000075</v>
      </c>
      <c r="P92" s="400">
        <f t="shared" si="11"/>
        <v>211.89580000000205</v>
      </c>
      <c r="R92" s="435"/>
    </row>
    <row r="93" spans="1:18" ht="13.8" customHeight="1" x14ac:dyDescent="0.3">
      <c r="A93" s="384"/>
      <c r="B93" s="384"/>
      <c r="C93" s="384"/>
      <c r="D93" s="384"/>
      <c r="E93" s="384" t="s">
        <v>79</v>
      </c>
      <c r="F93" s="403">
        <v>44168.160000000003</v>
      </c>
      <c r="G93" s="403">
        <v>66252.27</v>
      </c>
      <c r="H93" s="400">
        <v>66252.350000000006</v>
      </c>
      <c r="J93" s="291">
        <v>66252.350000000006</v>
      </c>
      <c r="L93" s="291"/>
      <c r="M93" s="374">
        <v>67577.397000000012</v>
      </c>
      <c r="O93" s="400">
        <f t="shared" si="10"/>
        <v>1325.0470000000059</v>
      </c>
      <c r="P93" s="400">
        <f t="shared" si="11"/>
        <v>1325.1270000000077</v>
      </c>
      <c r="R93" s="435"/>
    </row>
    <row r="94" spans="1:18" ht="13.8" customHeight="1" x14ac:dyDescent="0.3">
      <c r="A94" s="384"/>
      <c r="B94" s="384"/>
      <c r="C94" s="384"/>
      <c r="D94" s="384"/>
      <c r="E94" s="384" t="s">
        <v>362</v>
      </c>
      <c r="F94" s="403">
        <v>13000</v>
      </c>
      <c r="G94" s="403">
        <v>13000</v>
      </c>
      <c r="H94" s="400">
        <v>13000</v>
      </c>
      <c r="J94" s="291">
        <v>0</v>
      </c>
      <c r="L94" s="291"/>
      <c r="M94" s="374">
        <v>0</v>
      </c>
      <c r="O94" s="400">
        <f t="shared" si="10"/>
        <v>-13000</v>
      </c>
      <c r="P94" s="400">
        <f t="shared" si="11"/>
        <v>-13000</v>
      </c>
    </row>
    <row r="95" spans="1:18" ht="13.8" customHeight="1" thickBot="1" x14ac:dyDescent="0.35">
      <c r="A95" s="384"/>
      <c r="B95" s="384"/>
      <c r="C95" s="384"/>
      <c r="D95" s="384"/>
      <c r="E95" s="384" t="s">
        <v>363</v>
      </c>
      <c r="F95" s="416">
        <v>1146.08</v>
      </c>
      <c r="G95" s="416">
        <v>1146.08</v>
      </c>
      <c r="H95" s="402">
        <v>1000</v>
      </c>
      <c r="J95" s="292">
        <v>0</v>
      </c>
      <c r="L95" s="292"/>
      <c r="M95" s="375">
        <v>0</v>
      </c>
      <c r="O95" s="402">
        <f t="shared" si="10"/>
        <v>-1000</v>
      </c>
      <c r="P95" s="402">
        <f t="shared" si="11"/>
        <v>-1146.08</v>
      </c>
    </row>
    <row r="96" spans="1:18" ht="13.8" customHeight="1" x14ac:dyDescent="0.3">
      <c r="A96" s="384"/>
      <c r="B96" s="384"/>
      <c r="C96" s="384"/>
      <c r="D96" s="384" t="s">
        <v>80</v>
      </c>
      <c r="E96" s="384"/>
      <c r="F96" s="403">
        <v>90016.59</v>
      </c>
      <c r="G96" s="403">
        <f>SUM(G89:G95)</f>
        <v>125215.13</v>
      </c>
      <c r="H96" s="400">
        <v>125118.58</v>
      </c>
      <c r="I96" s="401"/>
      <c r="J96" s="290">
        <f>SUM(J89:J95)</f>
        <v>111118.58000000002</v>
      </c>
      <c r="K96" s="346" t="s">
        <v>385</v>
      </c>
      <c r="L96" s="296">
        <f>SUM(L89:L95)</f>
        <v>0</v>
      </c>
      <c r="M96" s="376">
        <v>113340.95160000001</v>
      </c>
      <c r="N96" s="401"/>
      <c r="O96" s="403">
        <f t="shared" si="10"/>
        <v>-11777.628399999987</v>
      </c>
      <c r="P96" s="403">
        <f t="shared" si="11"/>
        <v>-11874.17839999999</v>
      </c>
      <c r="R96" s="435"/>
    </row>
    <row r="97" spans="1:20" ht="13.8" customHeight="1" x14ac:dyDescent="0.3">
      <c r="A97" s="384"/>
      <c r="B97" s="384"/>
      <c r="C97" s="384"/>
      <c r="D97" s="384" t="s">
        <v>81</v>
      </c>
      <c r="E97" s="384"/>
      <c r="F97" s="403"/>
      <c r="G97" s="403"/>
      <c r="H97" s="400"/>
      <c r="J97" s="291"/>
      <c r="L97" s="291"/>
      <c r="M97" s="374"/>
      <c r="O97" s="400"/>
      <c r="P97" s="400"/>
    </row>
    <row r="98" spans="1:20" ht="13.8" customHeight="1" x14ac:dyDescent="0.3">
      <c r="A98" s="384"/>
      <c r="B98" s="384"/>
      <c r="C98" s="384"/>
      <c r="D98" s="384"/>
      <c r="E98" s="384" t="s">
        <v>82</v>
      </c>
      <c r="F98" s="403">
        <v>309.86</v>
      </c>
      <c r="G98" s="403">
        <v>461.55</v>
      </c>
      <c r="H98" s="400">
        <v>455.05</v>
      </c>
      <c r="J98" s="291">
        <v>455.05</v>
      </c>
      <c r="L98" s="291"/>
      <c r="M98" s="428">
        <v>499</v>
      </c>
      <c r="O98" s="400">
        <f t="shared" ref="O98:O103" si="15">M98-H98</f>
        <v>43.949999999999989</v>
      </c>
      <c r="P98" s="400">
        <f t="shared" ref="P98:P103" si="16">M98-G98</f>
        <v>37.449999999999989</v>
      </c>
      <c r="R98" s="435"/>
    </row>
    <row r="99" spans="1:20" ht="13.8" customHeight="1" x14ac:dyDescent="0.3">
      <c r="A99" s="384"/>
      <c r="B99" s="384"/>
      <c r="C99" s="384"/>
      <c r="D99" s="384"/>
      <c r="E99" s="384" t="s">
        <v>83</v>
      </c>
      <c r="F99" s="403">
        <v>11000.04</v>
      </c>
      <c r="G99" s="403">
        <v>16333.400000000001</v>
      </c>
      <c r="H99" s="400">
        <v>16000</v>
      </c>
      <c r="J99" s="291">
        <v>16000</v>
      </c>
      <c r="L99" s="291"/>
      <c r="M99" s="428">
        <v>17340</v>
      </c>
      <c r="O99" s="400">
        <f t="shared" si="15"/>
        <v>1340</v>
      </c>
      <c r="P99" s="400">
        <f t="shared" si="16"/>
        <v>1006.5999999999985</v>
      </c>
      <c r="R99" s="435"/>
    </row>
    <row r="100" spans="1:20" ht="13.8" customHeight="1" x14ac:dyDescent="0.3">
      <c r="A100" s="384"/>
      <c r="B100" s="384"/>
      <c r="C100" s="384"/>
      <c r="D100" s="384"/>
      <c r="E100" s="384" t="s">
        <v>84</v>
      </c>
      <c r="F100" s="403">
        <v>6849.06</v>
      </c>
      <c r="G100" s="403">
        <v>10127.700000000001</v>
      </c>
      <c r="H100" s="400">
        <v>9836</v>
      </c>
      <c r="J100" s="291">
        <v>9836</v>
      </c>
      <c r="L100" s="291"/>
      <c r="M100" s="374">
        <v>10032.719999999999</v>
      </c>
      <c r="O100" s="400">
        <f t="shared" si="15"/>
        <v>196.71999999999935</v>
      </c>
      <c r="P100" s="400">
        <f t="shared" si="16"/>
        <v>-94.980000000001382</v>
      </c>
      <c r="R100" s="435"/>
    </row>
    <row r="101" spans="1:20" ht="13.8" customHeight="1" x14ac:dyDescent="0.3">
      <c r="A101" s="384"/>
      <c r="B101" s="384"/>
      <c r="C101" s="384"/>
      <c r="D101" s="384"/>
      <c r="E101" s="384" t="s">
        <v>85</v>
      </c>
      <c r="F101" s="403">
        <v>21629.37</v>
      </c>
      <c r="G101" s="403">
        <v>32610.85</v>
      </c>
      <c r="H101" s="400">
        <v>32944.44</v>
      </c>
      <c r="J101" s="291">
        <v>32944.44</v>
      </c>
      <c r="L101" s="291"/>
      <c r="M101" s="428">
        <v>32583</v>
      </c>
      <c r="O101" s="400">
        <f t="shared" si="15"/>
        <v>-361.44000000000233</v>
      </c>
      <c r="P101" s="400">
        <f t="shared" si="16"/>
        <v>-27.849999999998545</v>
      </c>
      <c r="R101" s="435"/>
    </row>
    <row r="102" spans="1:20" ht="13.8" customHeight="1" x14ac:dyDescent="0.3">
      <c r="A102" s="384"/>
      <c r="B102" s="384"/>
      <c r="C102" s="384"/>
      <c r="D102" s="384"/>
      <c r="E102" s="384" t="s">
        <v>77</v>
      </c>
      <c r="F102" s="421">
        <v>3359.67</v>
      </c>
      <c r="G102" s="403">
        <v>4496.2725</v>
      </c>
      <c r="H102" s="400">
        <v>4546.51</v>
      </c>
      <c r="J102" s="291">
        <v>4546.51</v>
      </c>
      <c r="L102" s="291"/>
      <c r="M102" s="428">
        <v>4992</v>
      </c>
      <c r="O102" s="400">
        <f t="shared" si="15"/>
        <v>445.48999999999978</v>
      </c>
      <c r="P102" s="400">
        <f t="shared" si="16"/>
        <v>495.72749999999996</v>
      </c>
      <c r="R102" s="435"/>
    </row>
    <row r="103" spans="1:20" ht="13.8" customHeight="1" thickBot="1" x14ac:dyDescent="0.35">
      <c r="A103" s="384"/>
      <c r="B103" s="384"/>
      <c r="C103" s="384"/>
      <c r="D103" s="384"/>
      <c r="E103" s="384" t="s">
        <v>78</v>
      </c>
      <c r="F103" s="403">
        <v>1073.67</v>
      </c>
      <c r="G103" s="403">
        <v>2999.67</v>
      </c>
      <c r="H103" s="404">
        <v>3000</v>
      </c>
      <c r="J103" s="293">
        <v>3000</v>
      </c>
      <c r="L103" s="293"/>
      <c r="M103" s="377">
        <v>3060</v>
      </c>
      <c r="O103" s="400">
        <f t="shared" si="15"/>
        <v>60</v>
      </c>
      <c r="P103" s="400">
        <f t="shared" si="16"/>
        <v>60.329999999999927</v>
      </c>
      <c r="R103" s="435"/>
    </row>
    <row r="104" spans="1:20" ht="13.8" customHeight="1" thickBot="1" x14ac:dyDescent="0.35">
      <c r="A104" s="384"/>
      <c r="B104" s="384"/>
      <c r="C104" s="384"/>
      <c r="D104" s="384" t="s">
        <v>86</v>
      </c>
      <c r="E104" s="384"/>
      <c r="F104" s="420">
        <v>44221.67</v>
      </c>
      <c r="G104" s="420">
        <f>SUM(G98:G103)</f>
        <v>67029.442500000005</v>
      </c>
      <c r="H104" s="408">
        <v>66782</v>
      </c>
      <c r="I104" s="401"/>
      <c r="J104" s="295">
        <f>SUM(J98:J103)</f>
        <v>66782</v>
      </c>
      <c r="K104" s="346" t="s">
        <v>190</v>
      </c>
      <c r="L104" s="295"/>
      <c r="M104" s="430">
        <f>SUM(M98:M103)</f>
        <v>68506.720000000001</v>
      </c>
      <c r="N104" s="401"/>
      <c r="O104" s="408">
        <f t="shared" si="10"/>
        <v>1724.7200000000012</v>
      </c>
      <c r="P104" s="408">
        <f t="shared" si="11"/>
        <v>1477.2774999999965</v>
      </c>
      <c r="R104" s="435"/>
    </row>
    <row r="105" spans="1:20" ht="13.8" customHeight="1" x14ac:dyDescent="0.3">
      <c r="A105" s="384"/>
      <c r="B105" s="384"/>
      <c r="C105" s="384" t="s">
        <v>87</v>
      </c>
      <c r="D105" s="384"/>
      <c r="E105" s="384"/>
      <c r="F105" s="403">
        <v>134238.26</v>
      </c>
      <c r="G105" s="403">
        <f>G104+G96</f>
        <v>192244.57250000001</v>
      </c>
      <c r="H105" s="400">
        <v>191900.58</v>
      </c>
      <c r="I105" s="401"/>
      <c r="J105" s="290">
        <f>J104+J96</f>
        <v>177900.58000000002</v>
      </c>
      <c r="L105" s="296">
        <f>L104+L96</f>
        <v>0</v>
      </c>
      <c r="M105" s="431">
        <f>M104+M96</f>
        <v>181847.6716</v>
      </c>
      <c r="N105" s="401"/>
      <c r="O105" s="403">
        <f t="shared" si="10"/>
        <v>-10052.908399999986</v>
      </c>
      <c r="P105" s="403">
        <f t="shared" si="11"/>
        <v>-10396.900900000008</v>
      </c>
      <c r="R105" s="435"/>
      <c r="T105" s="435"/>
    </row>
    <row r="106" spans="1:20" ht="13.8" customHeight="1" x14ac:dyDescent="0.3">
      <c r="A106" s="384"/>
      <c r="B106" s="384"/>
      <c r="C106" s="384" t="s">
        <v>88</v>
      </c>
      <c r="D106" s="384"/>
      <c r="E106" s="384"/>
      <c r="F106" s="403"/>
      <c r="G106" s="403"/>
      <c r="H106" s="400"/>
      <c r="J106" s="291"/>
      <c r="L106" s="291"/>
      <c r="M106" s="374"/>
      <c r="O106" s="400"/>
      <c r="P106" s="400"/>
    </row>
    <row r="107" spans="1:20" ht="13.8" customHeight="1" x14ac:dyDescent="0.3">
      <c r="A107" s="384"/>
      <c r="B107" s="384"/>
      <c r="C107" s="384"/>
      <c r="D107" s="384" t="s">
        <v>89</v>
      </c>
      <c r="E107" s="384"/>
      <c r="F107" s="403"/>
      <c r="G107" s="403"/>
      <c r="H107" s="400"/>
      <c r="J107" s="291"/>
      <c r="L107" s="291"/>
      <c r="M107" s="374"/>
      <c r="O107" s="400"/>
      <c r="P107" s="400"/>
    </row>
    <row r="108" spans="1:20" ht="13.8" customHeight="1" thickBot="1" x14ac:dyDescent="0.35">
      <c r="A108" s="384"/>
      <c r="B108" s="384"/>
      <c r="C108" s="384"/>
      <c r="D108" s="384"/>
      <c r="E108" s="384" t="s">
        <v>90</v>
      </c>
      <c r="F108" s="416">
        <v>4670</v>
      </c>
      <c r="G108" s="416">
        <v>7143</v>
      </c>
      <c r="H108" s="402">
        <v>7420</v>
      </c>
      <c r="J108" s="292">
        <v>7420</v>
      </c>
      <c r="K108" s="346" t="s">
        <v>381</v>
      </c>
      <c r="L108" s="292"/>
      <c r="M108" s="375">
        <f t="shared" si="12"/>
        <v>7420</v>
      </c>
      <c r="O108" s="402">
        <f t="shared" si="10"/>
        <v>0</v>
      </c>
      <c r="P108" s="402">
        <f t="shared" si="11"/>
        <v>277</v>
      </c>
    </row>
    <row r="109" spans="1:20" ht="13.8" customHeight="1" x14ac:dyDescent="0.3">
      <c r="A109" s="384"/>
      <c r="B109" s="384"/>
      <c r="C109" s="384"/>
      <c r="D109" s="384" t="s">
        <v>91</v>
      </c>
      <c r="E109" s="384"/>
      <c r="F109" s="403">
        <v>4670</v>
      </c>
      <c r="G109" s="403">
        <f>G108</f>
        <v>7143</v>
      </c>
      <c r="H109" s="400">
        <v>7420</v>
      </c>
      <c r="I109" s="401"/>
      <c r="J109" s="291">
        <f>J108</f>
        <v>7420</v>
      </c>
      <c r="L109" s="291"/>
      <c r="M109" s="374">
        <f>M108</f>
        <v>7420</v>
      </c>
      <c r="N109" s="401"/>
      <c r="O109" s="400">
        <f t="shared" si="10"/>
        <v>0</v>
      </c>
      <c r="P109" s="400">
        <f t="shared" si="11"/>
        <v>277</v>
      </c>
    </row>
    <row r="110" spans="1:20" ht="13.8" customHeight="1" x14ac:dyDescent="0.3">
      <c r="A110" s="384"/>
      <c r="B110" s="384"/>
      <c r="C110" s="384"/>
      <c r="D110" s="384" t="s">
        <v>92</v>
      </c>
      <c r="E110" s="384"/>
      <c r="F110" s="403"/>
      <c r="G110" s="403"/>
      <c r="H110" s="400"/>
      <c r="J110" s="291"/>
      <c r="L110" s="291"/>
      <c r="M110" s="374"/>
      <c r="O110" s="400"/>
      <c r="P110" s="400"/>
    </row>
    <row r="111" spans="1:20" ht="13.8" customHeight="1" x14ac:dyDescent="0.3">
      <c r="A111" s="384"/>
      <c r="B111" s="384"/>
      <c r="C111" s="384"/>
      <c r="D111" s="384"/>
      <c r="E111" s="384" t="s">
        <v>93</v>
      </c>
      <c r="F111" s="403">
        <v>1496</v>
      </c>
      <c r="G111" s="403">
        <v>2992</v>
      </c>
      <c r="H111" s="400">
        <v>4488</v>
      </c>
      <c r="J111" s="291">
        <v>4488</v>
      </c>
      <c r="L111" s="291"/>
      <c r="M111" s="374">
        <v>4578</v>
      </c>
      <c r="O111" s="400">
        <f t="shared" ref="O111:O112" si="17">M111-H111</f>
        <v>90</v>
      </c>
      <c r="P111" s="400">
        <f t="shared" ref="P111:P112" si="18">M111-G111</f>
        <v>1586</v>
      </c>
    </row>
    <row r="112" spans="1:20" ht="13.8" customHeight="1" thickBot="1" x14ac:dyDescent="0.35">
      <c r="A112" s="384"/>
      <c r="B112" s="384"/>
      <c r="C112" s="384"/>
      <c r="D112" s="384"/>
      <c r="E112" s="384" t="s">
        <v>94</v>
      </c>
      <c r="F112" s="416">
        <v>29920</v>
      </c>
      <c r="G112" s="416">
        <v>44880</v>
      </c>
      <c r="H112" s="402">
        <v>44880</v>
      </c>
      <c r="J112" s="292">
        <v>44880</v>
      </c>
      <c r="L112" s="292"/>
      <c r="M112" s="375">
        <v>45778</v>
      </c>
      <c r="O112" s="400">
        <f t="shared" si="17"/>
        <v>898</v>
      </c>
      <c r="P112" s="400">
        <f t="shared" si="18"/>
        <v>898</v>
      </c>
    </row>
    <row r="113" spans="1:18" ht="13.8" customHeight="1" x14ac:dyDescent="0.3">
      <c r="A113" s="384"/>
      <c r="B113" s="384"/>
      <c r="C113" s="384"/>
      <c r="D113" s="384" t="s">
        <v>95</v>
      </c>
      <c r="E113" s="384"/>
      <c r="F113" s="403">
        <v>31416</v>
      </c>
      <c r="G113" s="403">
        <f>SUM(G111:G112)</f>
        <v>47872</v>
      </c>
      <c r="H113" s="400">
        <v>49368</v>
      </c>
      <c r="I113" s="401"/>
      <c r="J113" s="291">
        <f>SUM(J111:J112)</f>
        <v>49368</v>
      </c>
      <c r="K113" s="346" t="s">
        <v>381</v>
      </c>
      <c r="L113" s="291"/>
      <c r="M113" s="374">
        <f>SUM(M111:M112)</f>
        <v>50356</v>
      </c>
      <c r="N113" s="401"/>
      <c r="O113" s="400">
        <f t="shared" si="10"/>
        <v>988</v>
      </c>
      <c r="P113" s="400">
        <f t="shared" si="11"/>
        <v>2484</v>
      </c>
    </row>
    <row r="114" spans="1:18" ht="13.8" customHeight="1" x14ac:dyDescent="0.3">
      <c r="A114" s="384"/>
      <c r="B114" s="384"/>
      <c r="C114" s="384"/>
      <c r="D114" s="384" t="s">
        <v>96</v>
      </c>
      <c r="E114" s="384"/>
      <c r="F114" s="403"/>
      <c r="G114" s="403"/>
      <c r="H114" s="400"/>
      <c r="J114" s="291"/>
      <c r="L114" s="291"/>
      <c r="M114" s="374"/>
      <c r="O114" s="400"/>
      <c r="P114" s="400"/>
    </row>
    <row r="115" spans="1:18" ht="13.8" customHeight="1" thickBot="1" x14ac:dyDescent="0.35">
      <c r="A115" s="384"/>
      <c r="B115" s="384"/>
      <c r="C115" s="384"/>
      <c r="D115" s="384"/>
      <c r="E115" s="384" t="s">
        <v>97</v>
      </c>
      <c r="F115" s="416">
        <v>8837.5</v>
      </c>
      <c r="G115" s="416">
        <v>13388</v>
      </c>
      <c r="H115" s="402">
        <v>13650</v>
      </c>
      <c r="J115" s="292">
        <v>13650</v>
      </c>
      <c r="L115" s="292"/>
      <c r="M115" s="375">
        <v>13923</v>
      </c>
      <c r="O115" s="400">
        <f t="shared" ref="O115" si="19">M115-H115</f>
        <v>273</v>
      </c>
      <c r="P115" s="400">
        <f t="shared" ref="P115" si="20">M115-G115</f>
        <v>535</v>
      </c>
    </row>
    <row r="116" spans="1:18" ht="13.8" customHeight="1" x14ac:dyDescent="0.3">
      <c r="A116" s="384"/>
      <c r="B116" s="384"/>
      <c r="C116" s="384"/>
      <c r="D116" s="384" t="s">
        <v>98</v>
      </c>
      <c r="E116" s="384"/>
      <c r="F116" s="403">
        <v>8837.5</v>
      </c>
      <c r="G116" s="403">
        <f>G115</f>
        <v>13388</v>
      </c>
      <c r="H116" s="400">
        <v>13650</v>
      </c>
      <c r="I116" s="401"/>
      <c r="J116" s="291">
        <f>J115</f>
        <v>13650</v>
      </c>
      <c r="K116" s="346" t="s">
        <v>381</v>
      </c>
      <c r="L116" s="291"/>
      <c r="M116" s="374">
        <f>M115</f>
        <v>13923</v>
      </c>
      <c r="N116" s="401"/>
      <c r="O116" s="400">
        <f t="shared" si="10"/>
        <v>273</v>
      </c>
      <c r="P116" s="400">
        <f t="shared" si="11"/>
        <v>535</v>
      </c>
    </row>
    <row r="117" spans="1:18" ht="13.8" customHeight="1" x14ac:dyDescent="0.3">
      <c r="A117" s="384"/>
      <c r="B117" s="384"/>
      <c r="C117" s="384"/>
      <c r="D117" s="384" t="s">
        <v>102</v>
      </c>
      <c r="E117" s="384"/>
      <c r="F117" s="403"/>
      <c r="G117" s="403"/>
      <c r="H117" s="400"/>
      <c r="J117" s="291"/>
      <c r="L117" s="291"/>
      <c r="M117" s="374"/>
      <c r="O117" s="400"/>
      <c r="P117" s="400"/>
    </row>
    <row r="118" spans="1:18" ht="13.8" customHeight="1" x14ac:dyDescent="0.3">
      <c r="A118" s="384"/>
      <c r="B118" s="384"/>
      <c r="C118" s="384"/>
      <c r="D118" s="384"/>
      <c r="E118" s="384" t="s">
        <v>103</v>
      </c>
      <c r="F118" s="421">
        <v>3471.4</v>
      </c>
      <c r="G118" s="403">
        <v>4671</v>
      </c>
      <c r="H118" s="400">
        <v>4800</v>
      </c>
      <c r="J118" s="291">
        <v>4800</v>
      </c>
      <c r="L118" s="291"/>
      <c r="M118" s="428">
        <f>4800*1.02</f>
        <v>4896</v>
      </c>
      <c r="O118" s="400">
        <f t="shared" ref="O118:O119" si="21">M118-H118</f>
        <v>96</v>
      </c>
      <c r="P118" s="400">
        <f t="shared" ref="P118:P119" si="22">M118-G118</f>
        <v>225</v>
      </c>
    </row>
    <row r="119" spans="1:18" ht="13.8" customHeight="1" thickBot="1" x14ac:dyDescent="0.35">
      <c r="A119" s="384"/>
      <c r="B119" s="384"/>
      <c r="C119" s="384"/>
      <c r="D119" s="384"/>
      <c r="E119" s="384" t="s">
        <v>104</v>
      </c>
      <c r="F119" s="403">
        <v>32000</v>
      </c>
      <c r="G119" s="403">
        <v>48000</v>
      </c>
      <c r="H119" s="404">
        <v>48000</v>
      </c>
      <c r="J119" s="293">
        <v>48000</v>
      </c>
      <c r="L119" s="293"/>
      <c r="M119" s="429">
        <f>48000*1.02</f>
        <v>48960</v>
      </c>
      <c r="O119" s="400">
        <f t="shared" si="21"/>
        <v>960</v>
      </c>
      <c r="P119" s="400">
        <f t="shared" si="22"/>
        <v>960</v>
      </c>
    </row>
    <row r="120" spans="1:18" ht="13.8" customHeight="1" thickBot="1" x14ac:dyDescent="0.35">
      <c r="A120" s="384"/>
      <c r="B120" s="384"/>
      <c r="C120" s="384"/>
      <c r="D120" s="384" t="s">
        <v>105</v>
      </c>
      <c r="E120" s="384"/>
      <c r="F120" s="420">
        <v>35471.4</v>
      </c>
      <c r="G120" s="420">
        <f>SUM(G118:G119)</f>
        <v>52671</v>
      </c>
      <c r="H120" s="408">
        <v>52800</v>
      </c>
      <c r="J120" s="295">
        <f>SUM(J118:J119)</f>
        <v>52800</v>
      </c>
      <c r="L120" s="295"/>
      <c r="M120" s="380">
        <f>SUM(M118:M119)</f>
        <v>53856</v>
      </c>
      <c r="O120" s="408">
        <f t="shared" si="10"/>
        <v>1056</v>
      </c>
      <c r="P120" s="408">
        <f t="shared" si="11"/>
        <v>1185</v>
      </c>
    </row>
    <row r="121" spans="1:18" ht="13.8" customHeight="1" x14ac:dyDescent="0.3">
      <c r="A121" s="384"/>
      <c r="B121" s="384"/>
      <c r="C121" s="384" t="s">
        <v>107</v>
      </c>
      <c r="D121" s="384"/>
      <c r="E121" s="384"/>
      <c r="F121" s="403">
        <v>80394.899999999994</v>
      </c>
      <c r="G121" s="403">
        <f>G120+G116+G113+G109</f>
        <v>121074</v>
      </c>
      <c r="H121" s="400">
        <v>123238</v>
      </c>
      <c r="I121" s="401"/>
      <c r="J121" s="290">
        <f>J120+J116+J113+J109</f>
        <v>123238</v>
      </c>
      <c r="K121" s="346" t="s">
        <v>381</v>
      </c>
      <c r="L121" s="290"/>
      <c r="M121" s="381">
        <f>M120+M116+M113+M109</f>
        <v>125555</v>
      </c>
      <c r="N121" s="401"/>
      <c r="O121" s="409">
        <f t="shared" si="10"/>
        <v>2317</v>
      </c>
      <c r="P121" s="409">
        <f t="shared" si="11"/>
        <v>4481</v>
      </c>
    </row>
    <row r="122" spans="1:18" ht="13.8" customHeight="1" x14ac:dyDescent="0.3">
      <c r="A122" s="384"/>
      <c r="B122" s="384"/>
      <c r="C122" s="384" t="s">
        <v>108</v>
      </c>
      <c r="D122" s="384"/>
      <c r="E122" s="384"/>
      <c r="F122" s="403"/>
      <c r="G122" s="403"/>
      <c r="H122" s="400"/>
      <c r="J122" s="291"/>
      <c r="L122" s="291"/>
      <c r="M122" s="374"/>
      <c r="O122" s="400"/>
      <c r="P122" s="400"/>
    </row>
    <row r="123" spans="1:18" ht="13.8" customHeight="1" x14ac:dyDescent="0.3">
      <c r="A123" s="384"/>
      <c r="B123" s="384"/>
      <c r="C123" s="384"/>
      <c r="D123" s="384" t="s">
        <v>109</v>
      </c>
      <c r="E123" s="384"/>
      <c r="F123" s="403">
        <v>276.5</v>
      </c>
      <c r="G123" s="403">
        <v>443</v>
      </c>
      <c r="H123" s="400">
        <v>200</v>
      </c>
      <c r="J123" s="291">
        <f>G123</f>
        <v>443</v>
      </c>
      <c r="K123" s="346" t="s">
        <v>380</v>
      </c>
      <c r="L123" s="291"/>
      <c r="M123" s="374">
        <f t="shared" si="12"/>
        <v>443</v>
      </c>
      <c r="O123" s="400">
        <f t="shared" si="10"/>
        <v>243</v>
      </c>
      <c r="P123" s="400">
        <f t="shared" si="11"/>
        <v>0</v>
      </c>
    </row>
    <row r="124" spans="1:18" ht="13.8" customHeight="1" x14ac:dyDescent="0.3">
      <c r="A124" s="384"/>
      <c r="B124" s="384"/>
      <c r="C124" s="384"/>
      <c r="D124" s="384" t="s">
        <v>110</v>
      </c>
      <c r="E124" s="384"/>
      <c r="F124" s="403">
        <v>4993.71</v>
      </c>
      <c r="G124" s="403">
        <v>7899</v>
      </c>
      <c r="H124" s="400">
        <v>8717</v>
      </c>
      <c r="J124" s="291">
        <f>G124</f>
        <v>7899</v>
      </c>
      <c r="K124" s="346" t="s">
        <v>380</v>
      </c>
      <c r="L124" s="291"/>
      <c r="M124" s="374">
        <v>9500</v>
      </c>
      <c r="O124" s="400">
        <f t="shared" si="10"/>
        <v>783</v>
      </c>
      <c r="P124" s="400">
        <f t="shared" si="11"/>
        <v>1601</v>
      </c>
      <c r="R124" s="435"/>
    </row>
    <row r="125" spans="1:18" ht="13.8" customHeight="1" x14ac:dyDescent="0.3">
      <c r="A125" s="384"/>
      <c r="B125" s="384"/>
      <c r="C125" s="384"/>
      <c r="D125" s="384" t="s">
        <v>111</v>
      </c>
      <c r="E125" s="384"/>
      <c r="F125" s="403">
        <v>12323.88</v>
      </c>
      <c r="G125" s="403">
        <v>18491</v>
      </c>
      <c r="H125" s="400">
        <v>18500</v>
      </c>
      <c r="J125" s="291">
        <v>20036</v>
      </c>
      <c r="K125" s="346" t="s">
        <v>317</v>
      </c>
      <c r="L125" s="291"/>
      <c r="M125" s="374">
        <f t="shared" si="12"/>
        <v>20036</v>
      </c>
      <c r="O125" s="400">
        <f t="shared" si="10"/>
        <v>1536</v>
      </c>
      <c r="P125" s="400">
        <f t="shared" si="11"/>
        <v>1545</v>
      </c>
    </row>
    <row r="126" spans="1:18" ht="13.8" customHeight="1" thickBot="1" x14ac:dyDescent="0.35">
      <c r="A126" s="384"/>
      <c r="B126" s="384"/>
      <c r="C126" s="384"/>
      <c r="D126" s="384" t="s">
        <v>112</v>
      </c>
      <c r="E126" s="384"/>
      <c r="F126" s="416">
        <v>1389.65</v>
      </c>
      <c r="G126" s="416">
        <v>2156</v>
      </c>
      <c r="H126" s="402">
        <v>2300</v>
      </c>
      <c r="J126" s="292">
        <v>2300</v>
      </c>
      <c r="L126" s="292"/>
      <c r="M126" s="375">
        <v>2346</v>
      </c>
      <c r="O126" s="402">
        <f t="shared" si="10"/>
        <v>46</v>
      </c>
      <c r="P126" s="402">
        <f t="shared" si="11"/>
        <v>190</v>
      </c>
      <c r="R126" s="435"/>
    </row>
    <row r="127" spans="1:18" ht="13.8" customHeight="1" x14ac:dyDescent="0.3">
      <c r="A127" s="384"/>
      <c r="B127" s="384"/>
      <c r="C127" s="384" t="s">
        <v>113</v>
      </c>
      <c r="D127" s="384"/>
      <c r="E127" s="384"/>
      <c r="F127" s="403">
        <v>18983.740000000002</v>
      </c>
      <c r="G127" s="403">
        <f>SUM(G123:G126)</f>
        <v>28989</v>
      </c>
      <c r="H127" s="400">
        <v>29717</v>
      </c>
      <c r="I127" s="401"/>
      <c r="J127" s="290">
        <f>SUM(J123:J126)</f>
        <v>30678</v>
      </c>
      <c r="L127" s="290"/>
      <c r="M127" s="381">
        <f>SUM(M123:M126)</f>
        <v>32325</v>
      </c>
      <c r="N127" s="401"/>
      <c r="O127" s="409">
        <f t="shared" si="10"/>
        <v>2608</v>
      </c>
      <c r="P127" s="409">
        <f t="shared" si="11"/>
        <v>3336</v>
      </c>
    </row>
    <row r="128" spans="1:18" ht="13.8" customHeight="1" x14ac:dyDescent="0.3">
      <c r="A128" s="384"/>
      <c r="B128" s="384"/>
      <c r="C128" s="384" t="s">
        <v>114</v>
      </c>
      <c r="D128" s="384"/>
      <c r="E128" s="384"/>
      <c r="F128" s="403"/>
      <c r="G128" s="403"/>
      <c r="H128" s="400"/>
      <c r="J128" s="291"/>
      <c r="L128" s="291"/>
      <c r="M128" s="374"/>
      <c r="O128" s="400"/>
      <c r="P128" s="400"/>
    </row>
    <row r="129" spans="1:16" ht="13.8" customHeight="1" x14ac:dyDescent="0.3">
      <c r="A129" s="384"/>
      <c r="B129" s="384"/>
      <c r="C129" s="384"/>
      <c r="D129" s="384" t="s">
        <v>115</v>
      </c>
      <c r="E129" s="384"/>
      <c r="F129" s="403">
        <v>5200</v>
      </c>
      <c r="G129" s="403">
        <v>7800</v>
      </c>
      <c r="H129" s="400">
        <v>7800</v>
      </c>
      <c r="J129" s="291">
        <v>7800</v>
      </c>
      <c r="L129" s="291"/>
      <c r="M129" s="374">
        <f t="shared" si="12"/>
        <v>7800</v>
      </c>
      <c r="O129" s="400">
        <f t="shared" si="10"/>
        <v>0</v>
      </c>
      <c r="P129" s="400">
        <f t="shared" si="11"/>
        <v>0</v>
      </c>
    </row>
    <row r="130" spans="1:16" ht="13.8" customHeight="1" x14ac:dyDescent="0.3">
      <c r="A130" s="384"/>
      <c r="B130" s="384"/>
      <c r="C130" s="384"/>
      <c r="D130" s="384" t="s">
        <v>116</v>
      </c>
      <c r="E130" s="384"/>
      <c r="F130" s="403">
        <v>0</v>
      </c>
      <c r="G130" s="403">
        <v>166.64000000000001</v>
      </c>
      <c r="H130" s="400">
        <v>500</v>
      </c>
      <c r="J130" s="291"/>
      <c r="K130" s="346" t="s">
        <v>374</v>
      </c>
      <c r="L130" s="291"/>
      <c r="M130" s="374">
        <f t="shared" si="12"/>
        <v>0</v>
      </c>
      <c r="O130" s="400">
        <f t="shared" si="10"/>
        <v>-500</v>
      </c>
      <c r="P130" s="400">
        <f t="shared" si="11"/>
        <v>-166.64000000000001</v>
      </c>
    </row>
    <row r="131" spans="1:16" ht="13.8" customHeight="1" x14ac:dyDescent="0.3">
      <c r="A131" s="384"/>
      <c r="B131" s="384"/>
      <c r="C131" s="384"/>
      <c r="D131" s="384" t="s">
        <v>117</v>
      </c>
      <c r="E131" s="384"/>
      <c r="F131" s="403">
        <v>0</v>
      </c>
      <c r="G131" s="403">
        <v>45.36</v>
      </c>
      <c r="H131" s="400">
        <v>136</v>
      </c>
      <c r="J131" s="291">
        <v>136</v>
      </c>
      <c r="L131" s="291"/>
      <c r="M131" s="374">
        <v>120</v>
      </c>
      <c r="O131" s="400">
        <f t="shared" si="10"/>
        <v>-16</v>
      </c>
      <c r="P131" s="400">
        <f t="shared" si="11"/>
        <v>74.64</v>
      </c>
    </row>
    <row r="132" spans="1:16" ht="13.8" customHeight="1" x14ac:dyDescent="0.3">
      <c r="A132" s="384"/>
      <c r="B132" s="384"/>
      <c r="C132" s="384"/>
      <c r="D132" s="384" t="s">
        <v>118</v>
      </c>
      <c r="E132" s="384"/>
      <c r="F132" s="403">
        <v>0.02</v>
      </c>
      <c r="G132" s="403">
        <v>0.02</v>
      </c>
      <c r="H132" s="400">
        <v>0</v>
      </c>
      <c r="J132" s="291">
        <v>0</v>
      </c>
      <c r="L132" s="291"/>
      <c r="M132" s="374">
        <f t="shared" si="12"/>
        <v>0</v>
      </c>
      <c r="O132" s="400">
        <f t="shared" ref="O132:O169" si="23">M132-H132</f>
        <v>0</v>
      </c>
      <c r="P132" s="400">
        <f t="shared" ref="P132:P169" si="24">M132-G132</f>
        <v>-0.02</v>
      </c>
    </row>
    <row r="133" spans="1:16" ht="13.8" customHeight="1" x14ac:dyDescent="0.3">
      <c r="A133" s="384"/>
      <c r="B133" s="384"/>
      <c r="C133" s="384"/>
      <c r="D133" s="384" t="s">
        <v>119</v>
      </c>
      <c r="E133" s="384"/>
      <c r="F133" s="403">
        <v>6637.8</v>
      </c>
      <c r="G133" s="403">
        <v>10227.44</v>
      </c>
      <c r="H133" s="400">
        <v>7769</v>
      </c>
      <c r="J133" s="291">
        <v>9000</v>
      </c>
      <c r="K133" s="346" t="s">
        <v>371</v>
      </c>
      <c r="L133" s="291"/>
      <c r="M133" s="374">
        <f t="shared" si="12"/>
        <v>9000</v>
      </c>
      <c r="O133" s="400">
        <f t="shared" si="23"/>
        <v>1231</v>
      </c>
      <c r="P133" s="400">
        <f t="shared" si="24"/>
        <v>-1227.4400000000005</v>
      </c>
    </row>
    <row r="134" spans="1:16" ht="13.8" customHeight="1" x14ac:dyDescent="0.3">
      <c r="A134" s="384"/>
      <c r="B134" s="384"/>
      <c r="C134" s="384"/>
      <c r="D134" s="384" t="s">
        <v>120</v>
      </c>
      <c r="E134" s="384"/>
      <c r="F134" s="403">
        <v>600</v>
      </c>
      <c r="G134" s="403">
        <v>1000</v>
      </c>
      <c r="H134" s="400">
        <v>1200</v>
      </c>
      <c r="J134" s="291">
        <v>1200</v>
      </c>
      <c r="L134" s="291"/>
      <c r="M134" s="374">
        <f t="shared" si="12"/>
        <v>1200</v>
      </c>
      <c r="O134" s="400">
        <f t="shared" si="23"/>
        <v>0</v>
      </c>
      <c r="P134" s="400">
        <f t="shared" si="24"/>
        <v>200</v>
      </c>
    </row>
    <row r="135" spans="1:16" ht="13.8" customHeight="1" x14ac:dyDescent="0.3">
      <c r="A135" s="384"/>
      <c r="B135" s="384"/>
      <c r="C135" s="384"/>
      <c r="D135" s="384" t="s">
        <v>121</v>
      </c>
      <c r="E135" s="384"/>
      <c r="F135" s="403">
        <v>0</v>
      </c>
      <c r="G135" s="403">
        <v>0</v>
      </c>
      <c r="H135" s="400">
        <v>1500</v>
      </c>
      <c r="J135" s="291">
        <v>1500</v>
      </c>
      <c r="L135" s="291"/>
      <c r="M135" s="374">
        <v>1400</v>
      </c>
      <c r="O135" s="400">
        <f t="shared" si="23"/>
        <v>-100</v>
      </c>
      <c r="P135" s="400">
        <f t="shared" si="24"/>
        <v>1400</v>
      </c>
    </row>
    <row r="136" spans="1:16" ht="13.8" customHeight="1" x14ac:dyDescent="0.3">
      <c r="A136" s="384"/>
      <c r="B136" s="384"/>
      <c r="C136" s="384"/>
      <c r="D136" s="384" t="s">
        <v>122</v>
      </c>
      <c r="E136" s="384"/>
      <c r="F136" s="403">
        <v>0</v>
      </c>
      <c r="G136" s="403">
        <v>0</v>
      </c>
      <c r="H136" s="400">
        <v>200</v>
      </c>
      <c r="J136" s="291">
        <v>200</v>
      </c>
      <c r="L136" s="291"/>
      <c r="M136" s="374">
        <f t="shared" si="12"/>
        <v>200</v>
      </c>
      <c r="O136" s="400">
        <f t="shared" si="23"/>
        <v>0</v>
      </c>
      <c r="P136" s="400">
        <f t="shared" si="24"/>
        <v>200</v>
      </c>
    </row>
    <row r="137" spans="1:16" ht="13.8" customHeight="1" x14ac:dyDescent="0.3">
      <c r="A137" s="384"/>
      <c r="B137" s="384"/>
      <c r="C137" s="384"/>
      <c r="D137" s="384" t="s">
        <v>123</v>
      </c>
      <c r="E137" s="384"/>
      <c r="F137" s="403">
        <v>742.4</v>
      </c>
      <c r="G137" s="403">
        <v>1309.04</v>
      </c>
      <c r="H137" s="400">
        <v>200</v>
      </c>
      <c r="J137" s="291">
        <v>1200</v>
      </c>
      <c r="K137" s="346" t="s">
        <v>372</v>
      </c>
      <c r="L137" s="291"/>
      <c r="M137" s="374">
        <v>1100</v>
      </c>
      <c r="O137" s="400">
        <f t="shared" si="23"/>
        <v>900</v>
      </c>
      <c r="P137" s="400">
        <f t="shared" si="24"/>
        <v>-209.03999999999996</v>
      </c>
    </row>
    <row r="138" spans="1:16" ht="13.8" customHeight="1" x14ac:dyDescent="0.3">
      <c r="A138" s="384"/>
      <c r="B138" s="384"/>
      <c r="C138" s="384"/>
      <c r="D138" s="384" t="s">
        <v>124</v>
      </c>
      <c r="E138" s="384"/>
      <c r="F138" s="403">
        <v>180.2</v>
      </c>
      <c r="G138" s="403">
        <v>296.84000000000003</v>
      </c>
      <c r="H138" s="400">
        <v>500</v>
      </c>
      <c r="J138" s="291">
        <v>400</v>
      </c>
      <c r="K138" s="346" t="s">
        <v>373</v>
      </c>
      <c r="L138" s="291"/>
      <c r="M138" s="374">
        <f t="shared" si="12"/>
        <v>400</v>
      </c>
      <c r="O138" s="400">
        <f t="shared" si="23"/>
        <v>-100</v>
      </c>
      <c r="P138" s="400">
        <f t="shared" si="24"/>
        <v>103.15999999999997</v>
      </c>
    </row>
    <row r="139" spans="1:16" ht="13.8" customHeight="1" x14ac:dyDescent="0.3">
      <c r="A139" s="384"/>
      <c r="B139" s="384"/>
      <c r="C139" s="384"/>
      <c r="D139" s="384" t="s">
        <v>125</v>
      </c>
      <c r="E139" s="384"/>
      <c r="F139" s="403">
        <v>36.53</v>
      </c>
      <c r="G139" s="403">
        <v>86.53</v>
      </c>
      <c r="H139" s="400">
        <v>150</v>
      </c>
      <c r="J139" s="291">
        <v>150</v>
      </c>
      <c r="L139" s="291"/>
      <c r="M139" s="374">
        <f t="shared" si="12"/>
        <v>150</v>
      </c>
      <c r="O139" s="400">
        <f t="shared" si="23"/>
        <v>0</v>
      </c>
      <c r="P139" s="400">
        <f t="shared" si="24"/>
        <v>63.47</v>
      </c>
    </row>
    <row r="140" spans="1:16" ht="13.8" customHeight="1" x14ac:dyDescent="0.3">
      <c r="A140" s="384"/>
      <c r="B140" s="384"/>
      <c r="C140" s="384"/>
      <c r="D140" s="384" t="s">
        <v>126</v>
      </c>
      <c r="E140" s="384"/>
      <c r="F140" s="403">
        <v>561.59</v>
      </c>
      <c r="G140" s="403">
        <v>728.23</v>
      </c>
      <c r="H140" s="400">
        <v>2000</v>
      </c>
      <c r="J140" s="291">
        <v>2000</v>
      </c>
      <c r="L140" s="291"/>
      <c r="M140" s="374">
        <v>1900</v>
      </c>
      <c r="O140" s="400">
        <f t="shared" si="23"/>
        <v>-100</v>
      </c>
      <c r="P140" s="400">
        <f t="shared" si="24"/>
        <v>1171.77</v>
      </c>
    </row>
    <row r="141" spans="1:16" ht="13.8" customHeight="1" thickBot="1" x14ac:dyDescent="0.35">
      <c r="A141" s="384"/>
      <c r="B141" s="384"/>
      <c r="C141" s="384"/>
      <c r="D141" s="384" t="s">
        <v>127</v>
      </c>
      <c r="E141" s="384"/>
      <c r="F141" s="416">
        <v>673.28</v>
      </c>
      <c r="G141" s="416">
        <v>923.28</v>
      </c>
      <c r="H141" s="402">
        <v>1500</v>
      </c>
      <c r="J141" s="292">
        <v>1500</v>
      </c>
      <c r="L141" s="292"/>
      <c r="M141" s="375">
        <v>1400</v>
      </c>
      <c r="O141" s="402">
        <f t="shared" si="23"/>
        <v>-100</v>
      </c>
      <c r="P141" s="402">
        <f t="shared" si="24"/>
        <v>476.72</v>
      </c>
    </row>
    <row r="142" spans="1:16" ht="13.8" customHeight="1" x14ac:dyDescent="0.3">
      <c r="A142" s="384"/>
      <c r="B142" s="384"/>
      <c r="C142" s="384" t="s">
        <v>128</v>
      </c>
      <c r="D142" s="384"/>
      <c r="E142" s="384"/>
      <c r="F142" s="403">
        <v>14631.82</v>
      </c>
      <c r="G142" s="403">
        <f>SUM(G129:G141)</f>
        <v>22583.379999999997</v>
      </c>
      <c r="H142" s="400">
        <v>23455</v>
      </c>
      <c r="I142" s="401"/>
      <c r="J142" s="290">
        <f>SUM(J129:J141)</f>
        <v>25086</v>
      </c>
      <c r="L142" s="290"/>
      <c r="M142" s="381">
        <f>SUM(M129:M141)</f>
        <v>24670</v>
      </c>
      <c r="N142" s="401"/>
      <c r="O142" s="409">
        <f t="shared" si="23"/>
        <v>1215</v>
      </c>
      <c r="P142" s="409">
        <f t="shared" si="24"/>
        <v>2086.6200000000026</v>
      </c>
    </row>
    <row r="143" spans="1:16" ht="13.8" customHeight="1" x14ac:dyDescent="0.3">
      <c r="A143" s="384"/>
      <c r="B143" s="384"/>
      <c r="C143" s="384" t="s">
        <v>129</v>
      </c>
      <c r="D143" s="384"/>
      <c r="E143" s="384"/>
      <c r="F143" s="403"/>
      <c r="G143" s="403"/>
      <c r="H143" s="400"/>
      <c r="J143" s="291"/>
      <c r="L143" s="291"/>
      <c r="M143" s="374"/>
      <c r="O143" s="400"/>
      <c r="P143" s="400"/>
    </row>
    <row r="144" spans="1:16" ht="13.8" customHeight="1" x14ac:dyDescent="0.3">
      <c r="A144" s="384"/>
      <c r="B144" s="384"/>
      <c r="C144" s="384"/>
      <c r="D144" s="384" t="s">
        <v>130</v>
      </c>
      <c r="E144" s="384"/>
      <c r="F144" s="403">
        <v>590</v>
      </c>
      <c r="G144" s="403">
        <v>1290</v>
      </c>
      <c r="H144" s="400">
        <v>2100</v>
      </c>
      <c r="J144" s="291"/>
      <c r="L144" s="291"/>
      <c r="M144" s="374">
        <v>2100</v>
      </c>
      <c r="O144" s="400">
        <f t="shared" ref="O144:O148" si="25">M144-H144</f>
        <v>0</v>
      </c>
      <c r="P144" s="400">
        <f t="shared" ref="P144:P148" si="26">M144-G144</f>
        <v>810</v>
      </c>
    </row>
    <row r="145" spans="1:18" ht="13.8" customHeight="1" x14ac:dyDescent="0.3">
      <c r="A145" s="384"/>
      <c r="B145" s="384"/>
      <c r="C145" s="384"/>
      <c r="D145" s="384" t="s">
        <v>131</v>
      </c>
      <c r="E145" s="384"/>
      <c r="F145" s="403">
        <v>8646.4</v>
      </c>
      <c r="G145" s="403">
        <v>13146.4</v>
      </c>
      <c r="H145" s="400">
        <v>13500</v>
      </c>
      <c r="J145" s="291"/>
      <c r="L145" s="291"/>
      <c r="M145" s="374">
        <v>13500</v>
      </c>
      <c r="O145" s="400">
        <f t="shared" si="25"/>
        <v>0</v>
      </c>
      <c r="P145" s="400">
        <f t="shared" si="26"/>
        <v>353.60000000000036</v>
      </c>
    </row>
    <row r="146" spans="1:18" ht="13.8" customHeight="1" x14ac:dyDescent="0.3">
      <c r="A146" s="384"/>
      <c r="B146" s="384"/>
      <c r="C146" s="384"/>
      <c r="D146" s="384" t="s">
        <v>132</v>
      </c>
      <c r="E146" s="384"/>
      <c r="F146" s="403">
        <v>10568.07</v>
      </c>
      <c r="G146" s="403">
        <v>13298.71</v>
      </c>
      <c r="H146" s="400">
        <v>14192</v>
      </c>
      <c r="J146" s="291"/>
      <c r="K146" s="350"/>
      <c r="L146" s="291"/>
      <c r="M146" s="374">
        <v>14192</v>
      </c>
      <c r="O146" s="400">
        <f t="shared" si="25"/>
        <v>0</v>
      </c>
      <c r="P146" s="400">
        <f t="shared" si="26"/>
        <v>893.29000000000087</v>
      </c>
    </row>
    <row r="147" spans="1:18" ht="13.8" customHeight="1" x14ac:dyDescent="0.3">
      <c r="A147" s="384"/>
      <c r="B147" s="384"/>
      <c r="C147" s="384"/>
      <c r="D147" s="384" t="s">
        <v>133</v>
      </c>
      <c r="E147" s="384"/>
      <c r="F147" s="403">
        <v>1206.9100000000001</v>
      </c>
      <c r="G147" s="403">
        <v>1898.27</v>
      </c>
      <c r="H147" s="404">
        <v>2074</v>
      </c>
      <c r="J147" s="293"/>
      <c r="K147" s="350"/>
      <c r="L147" s="293"/>
      <c r="M147" s="377">
        <v>2074</v>
      </c>
      <c r="O147" s="400">
        <f t="shared" si="25"/>
        <v>0</v>
      </c>
      <c r="P147" s="400">
        <f t="shared" si="26"/>
        <v>175.73000000000002</v>
      </c>
    </row>
    <row r="148" spans="1:18" ht="13.8" customHeight="1" thickBot="1" x14ac:dyDescent="0.35">
      <c r="A148" s="384"/>
      <c r="B148" s="384"/>
      <c r="C148" s="384"/>
      <c r="D148" s="384" t="s">
        <v>134</v>
      </c>
      <c r="E148" s="384"/>
      <c r="F148" s="416">
        <v>3566.07</v>
      </c>
      <c r="G148" s="416">
        <v>4566.07</v>
      </c>
      <c r="H148" s="402">
        <v>9000</v>
      </c>
      <c r="J148" s="292"/>
      <c r="K148" s="350"/>
      <c r="L148" s="292"/>
      <c r="M148" s="375">
        <v>9000</v>
      </c>
      <c r="O148" s="400">
        <f t="shared" si="25"/>
        <v>0</v>
      </c>
      <c r="P148" s="400">
        <f t="shared" si="26"/>
        <v>4433.93</v>
      </c>
    </row>
    <row r="149" spans="1:18" ht="13.8" customHeight="1" x14ac:dyDescent="0.3">
      <c r="A149" s="384"/>
      <c r="B149" s="384"/>
      <c r="C149" s="384" t="s">
        <v>135</v>
      </c>
      <c r="D149" s="384"/>
      <c r="E149" s="384"/>
      <c r="F149" s="403">
        <v>24577.45</v>
      </c>
      <c r="G149" s="403">
        <f>SUM(G144:G148)</f>
        <v>34199.449999999997</v>
      </c>
      <c r="H149" s="400">
        <v>40866</v>
      </c>
      <c r="I149" s="401"/>
      <c r="J149" s="291">
        <v>40866</v>
      </c>
      <c r="K149" s="346" t="s">
        <v>381</v>
      </c>
      <c r="L149" s="291"/>
      <c r="M149" s="374">
        <v>40866</v>
      </c>
      <c r="N149" s="401"/>
      <c r="O149" s="400">
        <f t="shared" si="23"/>
        <v>0</v>
      </c>
      <c r="P149" s="400">
        <f t="shared" si="24"/>
        <v>6666.5500000000029</v>
      </c>
    </row>
    <row r="150" spans="1:18" ht="13.8" customHeight="1" x14ac:dyDescent="0.3">
      <c r="A150" s="384"/>
      <c r="B150" s="384"/>
      <c r="C150" s="384" t="s">
        <v>136</v>
      </c>
      <c r="D150" s="384"/>
      <c r="E150" s="384"/>
      <c r="F150" s="403"/>
      <c r="H150" s="400"/>
      <c r="J150" s="291"/>
      <c r="L150" s="291"/>
      <c r="M150" s="374"/>
      <c r="O150" s="400"/>
      <c r="P150" s="400"/>
    </row>
    <row r="151" spans="1:18" ht="13.8" customHeight="1" x14ac:dyDescent="0.3">
      <c r="A151" s="384"/>
      <c r="B151" s="384"/>
      <c r="C151" s="384"/>
      <c r="D151" s="384" t="s">
        <v>137</v>
      </c>
      <c r="E151" s="384"/>
      <c r="F151" s="403">
        <v>8996</v>
      </c>
      <c r="G151" s="403">
        <v>13696</v>
      </c>
      <c r="H151" s="400">
        <v>13500</v>
      </c>
      <c r="J151" s="291"/>
      <c r="L151" s="291"/>
      <c r="M151" s="374">
        <v>14385</v>
      </c>
      <c r="O151" s="400">
        <f t="shared" ref="O151:O155" si="27">M151-H151</f>
        <v>885</v>
      </c>
      <c r="P151" s="400">
        <f t="shared" ref="P151:P155" si="28">M151-G151</f>
        <v>689</v>
      </c>
      <c r="R151" s="435"/>
    </row>
    <row r="152" spans="1:18" ht="13.8" customHeight="1" x14ac:dyDescent="0.3">
      <c r="A152" s="384"/>
      <c r="B152" s="384"/>
      <c r="C152" s="384"/>
      <c r="D152" s="384" t="s">
        <v>138</v>
      </c>
      <c r="E152" s="384"/>
      <c r="F152" s="403">
        <v>5668</v>
      </c>
      <c r="G152" s="403">
        <v>8584.64</v>
      </c>
      <c r="H152" s="400">
        <v>11000</v>
      </c>
      <c r="J152" s="291"/>
      <c r="L152" s="291"/>
      <c r="M152" s="374">
        <v>9040</v>
      </c>
      <c r="O152" s="400">
        <f t="shared" si="27"/>
        <v>-1960</v>
      </c>
      <c r="P152" s="400">
        <f t="shared" si="28"/>
        <v>455.36000000000058</v>
      </c>
      <c r="R152" s="435"/>
    </row>
    <row r="153" spans="1:18" ht="13.8" customHeight="1" x14ac:dyDescent="0.3">
      <c r="A153" s="384"/>
      <c r="B153" s="384"/>
      <c r="C153" s="384"/>
      <c r="D153" s="384" t="s">
        <v>139</v>
      </c>
      <c r="E153" s="384"/>
      <c r="F153" s="403">
        <v>2337.19</v>
      </c>
      <c r="G153" s="403">
        <v>3437.19</v>
      </c>
      <c r="H153" s="400">
        <v>4500</v>
      </c>
      <c r="J153" s="291"/>
      <c r="L153" s="291"/>
      <c r="M153" s="374">
        <v>3576</v>
      </c>
      <c r="O153" s="400">
        <f t="shared" si="27"/>
        <v>-924</v>
      </c>
      <c r="P153" s="400">
        <f t="shared" si="28"/>
        <v>138.80999999999995</v>
      </c>
      <c r="R153" s="435"/>
    </row>
    <row r="154" spans="1:18" ht="13.8" customHeight="1" x14ac:dyDescent="0.3">
      <c r="A154" s="384"/>
      <c r="B154" s="384"/>
      <c r="C154" s="384"/>
      <c r="D154" s="384" t="s">
        <v>140</v>
      </c>
      <c r="E154" s="384"/>
      <c r="F154" s="403">
        <v>3164.68</v>
      </c>
      <c r="G154" s="403">
        <v>4998.04</v>
      </c>
      <c r="H154" s="400">
        <v>5500</v>
      </c>
      <c r="J154" s="291"/>
      <c r="L154" s="291"/>
      <c r="M154" s="374">
        <v>5250</v>
      </c>
      <c r="O154" s="400">
        <f t="shared" si="27"/>
        <v>-250</v>
      </c>
      <c r="P154" s="400">
        <f t="shared" si="28"/>
        <v>251.96000000000004</v>
      </c>
      <c r="R154" s="435"/>
    </row>
    <row r="155" spans="1:18" ht="13.8" customHeight="1" thickBot="1" x14ac:dyDescent="0.35">
      <c r="A155" s="384"/>
      <c r="B155" s="384"/>
      <c r="C155" s="384"/>
      <c r="D155" s="384" t="s">
        <v>141</v>
      </c>
      <c r="E155" s="384"/>
      <c r="F155" s="416">
        <v>3499.32</v>
      </c>
      <c r="G155" s="416">
        <v>5499.32</v>
      </c>
      <c r="H155" s="402">
        <v>6000</v>
      </c>
      <c r="J155" s="292"/>
      <c r="L155" s="292"/>
      <c r="M155" s="375">
        <v>5775</v>
      </c>
      <c r="O155" s="400">
        <f t="shared" si="27"/>
        <v>-225</v>
      </c>
      <c r="P155" s="400">
        <f t="shared" si="28"/>
        <v>275.68000000000029</v>
      </c>
      <c r="R155" s="435"/>
    </row>
    <row r="156" spans="1:18" ht="13.8" customHeight="1" x14ac:dyDescent="0.3">
      <c r="A156" s="384"/>
      <c r="B156" s="384"/>
      <c r="C156" s="384" t="s">
        <v>142</v>
      </c>
      <c r="D156" s="384"/>
      <c r="E156" s="384"/>
      <c r="F156" s="403">
        <v>23665.19</v>
      </c>
      <c r="G156" s="403">
        <f>SUM(G150:G155)</f>
        <v>36215.19</v>
      </c>
      <c r="H156" s="400">
        <v>40500</v>
      </c>
      <c r="I156" s="401"/>
      <c r="J156" s="291">
        <f>G156*1.05</f>
        <v>38025.949500000002</v>
      </c>
      <c r="K156" s="346" t="s">
        <v>375</v>
      </c>
      <c r="L156" s="291"/>
      <c r="M156" s="374">
        <f>SUM(M151:M155)</f>
        <v>38026</v>
      </c>
      <c r="N156" s="401"/>
      <c r="O156" s="400">
        <f t="shared" si="23"/>
        <v>-2474</v>
      </c>
      <c r="P156" s="400">
        <f t="shared" si="24"/>
        <v>1810.8099999999977</v>
      </c>
      <c r="R156" s="435"/>
    </row>
    <row r="157" spans="1:18" ht="13.8" customHeight="1" x14ac:dyDescent="0.3">
      <c r="A157" s="384"/>
      <c r="B157" s="384"/>
      <c r="C157" s="384" t="s">
        <v>143</v>
      </c>
      <c r="D157" s="384"/>
      <c r="E157" s="384"/>
      <c r="F157" s="403"/>
      <c r="G157" s="403"/>
      <c r="H157" s="400"/>
      <c r="J157" s="291"/>
      <c r="L157" s="291"/>
      <c r="M157" s="374"/>
      <c r="O157" s="400"/>
      <c r="P157" s="400"/>
    </row>
    <row r="158" spans="1:18" ht="13.8" customHeight="1" x14ac:dyDescent="0.3">
      <c r="A158" s="384"/>
      <c r="B158" s="384"/>
      <c r="C158" s="384"/>
      <c r="D158" s="384" t="s">
        <v>144</v>
      </c>
      <c r="E158" s="384"/>
      <c r="F158" s="403">
        <v>5319.6</v>
      </c>
      <c r="G158" s="403">
        <v>9160.9600000000009</v>
      </c>
      <c r="H158" s="400">
        <v>8866</v>
      </c>
      <c r="J158" s="291">
        <f>28*321</f>
        <v>8988</v>
      </c>
      <c r="K158" s="346" t="s">
        <v>376</v>
      </c>
      <c r="L158" s="291"/>
      <c r="M158" s="374">
        <f t="shared" ref="M158:M166" si="29">L158+J158</f>
        <v>8988</v>
      </c>
      <c r="O158" s="400">
        <f t="shared" si="23"/>
        <v>122</v>
      </c>
      <c r="P158" s="400">
        <f t="shared" si="24"/>
        <v>-172.96000000000095</v>
      </c>
    </row>
    <row r="159" spans="1:18" ht="13.8" customHeight="1" thickBot="1" x14ac:dyDescent="0.35">
      <c r="A159" s="384"/>
      <c r="B159" s="384"/>
      <c r="C159" s="384"/>
      <c r="D159" s="384" t="s">
        <v>145</v>
      </c>
      <c r="E159" s="384"/>
      <c r="F159" s="416">
        <v>10230</v>
      </c>
      <c r="G159" s="416">
        <v>20466.64</v>
      </c>
      <c r="H159" s="402">
        <v>20480</v>
      </c>
      <c r="J159" s="292">
        <f>60*321</f>
        <v>19260</v>
      </c>
      <c r="K159" s="346" t="s">
        <v>377</v>
      </c>
      <c r="L159" s="292"/>
      <c r="M159" s="375">
        <f t="shared" si="29"/>
        <v>19260</v>
      </c>
      <c r="O159" s="402">
        <f t="shared" si="23"/>
        <v>-1220</v>
      </c>
      <c r="P159" s="402">
        <f t="shared" si="24"/>
        <v>-1206.6399999999994</v>
      </c>
    </row>
    <row r="160" spans="1:18" ht="13.8" customHeight="1" x14ac:dyDescent="0.3">
      <c r="A160" s="384"/>
      <c r="B160" s="384"/>
      <c r="C160" s="384" t="s">
        <v>146</v>
      </c>
      <c r="D160" s="384"/>
      <c r="E160" s="384"/>
      <c r="F160" s="403">
        <v>15549.6</v>
      </c>
      <c r="G160" s="403">
        <f>SUM(G158:G159)</f>
        <v>29627.599999999999</v>
      </c>
      <c r="H160" s="400">
        <v>29346</v>
      </c>
      <c r="I160" s="401"/>
      <c r="J160" s="291">
        <f>SUM(J158:J159)</f>
        <v>28248</v>
      </c>
      <c r="L160" s="291"/>
      <c r="M160" s="374">
        <f>SUM(M158:M159)</f>
        <v>28248</v>
      </c>
      <c r="N160" s="401"/>
      <c r="O160" s="400">
        <f t="shared" si="23"/>
        <v>-1098</v>
      </c>
      <c r="P160" s="400">
        <f t="shared" si="24"/>
        <v>-1379.5999999999985</v>
      </c>
    </row>
    <row r="161" spans="1:78" ht="13.8" customHeight="1" x14ac:dyDescent="0.3">
      <c r="A161" s="384"/>
      <c r="B161" s="384"/>
      <c r="C161" s="384" t="s">
        <v>147</v>
      </c>
      <c r="D161" s="384"/>
      <c r="E161" s="384"/>
      <c r="F161" s="403"/>
      <c r="G161" s="403"/>
      <c r="H161" s="400"/>
      <c r="J161" s="291"/>
      <c r="L161" s="291"/>
      <c r="M161" s="374"/>
      <c r="O161" s="400"/>
      <c r="P161" s="400"/>
    </row>
    <row r="162" spans="1:78" ht="13.8" customHeight="1" thickBot="1" x14ac:dyDescent="0.35">
      <c r="A162" s="384"/>
      <c r="B162" s="384"/>
      <c r="C162" s="384"/>
      <c r="D162" s="384" t="s">
        <v>148</v>
      </c>
      <c r="E162" s="384"/>
      <c r="F162" s="416">
        <v>3070.37</v>
      </c>
      <c r="G162" s="416">
        <v>4497</v>
      </c>
      <c r="H162" s="402">
        <v>7880</v>
      </c>
      <c r="J162" s="292">
        <v>5000</v>
      </c>
      <c r="K162" s="346" t="s">
        <v>378</v>
      </c>
      <c r="L162" s="292"/>
      <c r="M162" s="375">
        <f t="shared" si="29"/>
        <v>5000</v>
      </c>
      <c r="O162" s="402">
        <f t="shared" si="23"/>
        <v>-2880</v>
      </c>
      <c r="P162" s="402">
        <f t="shared" si="24"/>
        <v>503</v>
      </c>
    </row>
    <row r="163" spans="1:78" ht="13.8" customHeight="1" x14ac:dyDescent="0.3">
      <c r="A163" s="384"/>
      <c r="B163" s="384"/>
      <c r="C163" s="384" t="s">
        <v>149</v>
      </c>
      <c r="D163" s="384"/>
      <c r="E163" s="384"/>
      <c r="F163" s="403">
        <v>3070.37</v>
      </c>
      <c r="G163" s="403">
        <f>G162</f>
        <v>4497</v>
      </c>
      <c r="H163" s="400">
        <v>7880</v>
      </c>
      <c r="I163" s="401"/>
      <c r="J163" s="291">
        <f>J162</f>
        <v>5000</v>
      </c>
      <c r="L163" s="291"/>
      <c r="M163" s="374">
        <f t="shared" si="29"/>
        <v>5000</v>
      </c>
      <c r="N163" s="401"/>
      <c r="O163" s="400">
        <f t="shared" si="23"/>
        <v>-2880</v>
      </c>
      <c r="P163" s="400">
        <f t="shared" si="24"/>
        <v>503</v>
      </c>
    </row>
    <row r="164" spans="1:78" ht="13.8" customHeight="1" x14ac:dyDescent="0.3">
      <c r="A164" s="384"/>
      <c r="B164" s="384"/>
      <c r="C164" s="384" t="s">
        <v>150</v>
      </c>
      <c r="D164" s="384"/>
      <c r="E164" s="384"/>
      <c r="F164" s="403"/>
      <c r="G164" s="403"/>
      <c r="H164" s="400"/>
      <c r="J164" s="291"/>
      <c r="L164" s="291"/>
      <c r="M164" s="374">
        <f t="shared" si="29"/>
        <v>0</v>
      </c>
      <c r="O164" s="400"/>
      <c r="P164" s="400"/>
    </row>
    <row r="165" spans="1:78" ht="13.8" customHeight="1" x14ac:dyDescent="0.3">
      <c r="A165" s="384"/>
      <c r="B165" s="384"/>
      <c r="C165" s="384"/>
      <c r="D165" s="384" t="s">
        <v>151</v>
      </c>
      <c r="E165" s="384"/>
      <c r="F165" s="403">
        <v>26225.040000000001</v>
      </c>
      <c r="G165" s="403">
        <v>39158</v>
      </c>
      <c r="H165" s="404">
        <v>38800</v>
      </c>
      <c r="J165" s="366">
        <v>32800</v>
      </c>
      <c r="K165" s="346" t="s">
        <v>379</v>
      </c>
      <c r="L165" s="293"/>
      <c r="M165" s="377">
        <f t="shared" si="29"/>
        <v>32800</v>
      </c>
      <c r="O165" s="404">
        <f t="shared" si="23"/>
        <v>-6000</v>
      </c>
      <c r="P165" s="404">
        <f t="shared" si="24"/>
        <v>-6358</v>
      </c>
    </row>
    <row r="166" spans="1:78" ht="13.8" customHeight="1" thickBot="1" x14ac:dyDescent="0.35">
      <c r="A166" s="384"/>
      <c r="B166" s="384"/>
      <c r="C166" s="384" t="s">
        <v>153</v>
      </c>
      <c r="D166" s="384"/>
      <c r="E166" s="384"/>
      <c r="F166" s="403">
        <v>22480.959999999999</v>
      </c>
      <c r="G166" s="416">
        <v>33914</v>
      </c>
      <c r="H166" s="400">
        <v>34300</v>
      </c>
      <c r="I166" s="401"/>
      <c r="J166" s="367">
        <v>29700</v>
      </c>
      <c r="K166" s="346" t="s">
        <v>379</v>
      </c>
      <c r="L166" s="292"/>
      <c r="M166" s="375">
        <f t="shared" si="29"/>
        <v>29700</v>
      </c>
      <c r="N166" s="401"/>
      <c r="O166" s="402">
        <f t="shared" si="23"/>
        <v>-4600</v>
      </c>
      <c r="P166" s="402">
        <f t="shared" si="24"/>
        <v>-4214</v>
      </c>
    </row>
    <row r="167" spans="1:78" ht="13.8" customHeight="1" x14ac:dyDescent="0.3">
      <c r="A167" s="384"/>
      <c r="B167" s="384"/>
      <c r="C167" s="384"/>
      <c r="D167" s="384"/>
      <c r="E167" s="384"/>
      <c r="F167" s="417"/>
      <c r="G167" s="417"/>
      <c r="H167" s="405"/>
      <c r="I167" s="401"/>
      <c r="J167" s="294"/>
      <c r="L167" s="294"/>
      <c r="M167" s="378"/>
      <c r="N167" s="401"/>
      <c r="O167" s="405">
        <f t="shared" si="23"/>
        <v>0</v>
      </c>
      <c r="P167" s="405">
        <f t="shared" si="24"/>
        <v>0</v>
      </c>
    </row>
    <row r="168" spans="1:78" s="298" customFormat="1" ht="13.8" customHeight="1" x14ac:dyDescent="0.3">
      <c r="A168" s="418"/>
      <c r="B168" s="418" t="s">
        <v>364</v>
      </c>
      <c r="C168" s="418"/>
      <c r="D168" s="418"/>
      <c r="E168" s="418"/>
      <c r="F168" s="407">
        <f>F166+F163+F160+F156+F149+F142+F127+F121+F105+F86+F59+F165</f>
        <v>375420.86999999994</v>
      </c>
      <c r="G168" s="407">
        <f>G166+G163+G160+G156+G149+G142+G127+G121+G105+G86+G59+G165</f>
        <v>563450.92249999999</v>
      </c>
      <c r="H168" s="407">
        <f>H166+H163+H160+H156+H149+H142+H127+H121+H105+H86+H59+H165</f>
        <v>591000.52999999991</v>
      </c>
      <c r="I168" s="406"/>
      <c r="J168" s="299">
        <f>SUM(J166,J165,J163,J160,J156,J149,J142,J127,J121,J105,J86,J59,J39)</f>
        <v>572305.03029999998</v>
      </c>
      <c r="K168" s="351"/>
      <c r="L168" s="299">
        <f>SUM(L166,L165,L163,L160,L156,L149,L142,L127,L121,L105,L86,L59)+SUM(L39:L39)</f>
        <v>0</v>
      </c>
      <c r="M168" s="382">
        <f>SUM(M166,M165,M163,M160,M156,M149,M142,M127,M121,M105,M86,M59)+SUM(M39:M39)</f>
        <v>579800.17239800002</v>
      </c>
      <c r="N168" s="406"/>
      <c r="O168" s="410">
        <f t="shared" si="23"/>
        <v>-11200.357601999887</v>
      </c>
      <c r="P168" s="410">
        <f t="shared" si="24"/>
        <v>16349.249898000038</v>
      </c>
      <c r="Q168" s="385"/>
      <c r="R168" s="385"/>
      <c r="S168" s="385"/>
      <c r="T168" s="385"/>
      <c r="U168" s="385"/>
      <c r="V168" s="385"/>
      <c r="W168" s="385"/>
      <c r="X168" s="385"/>
      <c r="Y168" s="385"/>
      <c r="Z168" s="385"/>
      <c r="AA168" s="385"/>
      <c r="AB168" s="385"/>
      <c r="AC168" s="385"/>
      <c r="AD168" s="385"/>
      <c r="AE168" s="385"/>
      <c r="AF168" s="385"/>
      <c r="AG168" s="385"/>
      <c r="AH168" s="385"/>
      <c r="AI168" s="385"/>
      <c r="AJ168" s="385"/>
      <c r="AK168" s="385"/>
      <c r="AL168" s="385"/>
      <c r="AM168" s="385"/>
      <c r="AN168" s="385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38"/>
      <c r="BI168" s="138"/>
      <c r="BJ168" s="138"/>
      <c r="BK168" s="138"/>
      <c r="BL168" s="138"/>
      <c r="BM168" s="138"/>
      <c r="BN168" s="138"/>
      <c r="BO168" s="138"/>
      <c r="BP168" s="138"/>
      <c r="BQ168" s="138"/>
      <c r="BR168" s="138"/>
      <c r="BS168" s="138"/>
      <c r="BT168" s="138"/>
      <c r="BU168" s="138"/>
      <c r="BV168" s="138"/>
      <c r="BW168" s="138"/>
      <c r="BX168" s="138"/>
      <c r="BY168" s="138"/>
      <c r="BZ168" s="138"/>
    </row>
    <row r="169" spans="1:78" s="301" customFormat="1" ht="13.8" customHeight="1" thickBot="1" x14ac:dyDescent="0.35">
      <c r="A169" s="422"/>
      <c r="B169" s="422"/>
      <c r="C169" s="422" t="s">
        <v>382</v>
      </c>
      <c r="D169" s="422"/>
      <c r="E169" s="422"/>
      <c r="F169" s="423">
        <f>+F38-F168</f>
        <v>2026.8100000000559</v>
      </c>
      <c r="G169" s="423">
        <f>+G38-G168</f>
        <v>-3473.8924999999581</v>
      </c>
      <c r="H169" s="423">
        <f>+H38-H168</f>
        <v>0.22000000008847564</v>
      </c>
      <c r="I169" s="411"/>
      <c r="J169" s="300">
        <f>+J38-J168</f>
        <v>7495.4707000000635</v>
      </c>
      <c r="K169" s="352"/>
      <c r="L169" s="300">
        <f>+L38-L168</f>
        <v>0</v>
      </c>
      <c r="M169" s="383">
        <f>+M38-M168</f>
        <v>0.32860200002323836</v>
      </c>
      <c r="N169" s="411"/>
      <c r="O169" s="412">
        <f t="shared" si="23"/>
        <v>0.10860199993476272</v>
      </c>
      <c r="P169" s="412">
        <f t="shared" si="24"/>
        <v>3474.2211019999813</v>
      </c>
      <c r="Q169" s="385"/>
      <c r="R169" s="385"/>
      <c r="S169" s="385"/>
      <c r="T169" s="385"/>
      <c r="U169" s="385"/>
      <c r="V169" s="385"/>
      <c r="W169" s="385"/>
      <c r="X169" s="385"/>
      <c r="Y169" s="385"/>
      <c r="Z169" s="385"/>
      <c r="AA169" s="385"/>
      <c r="AB169" s="385"/>
      <c r="AC169" s="385"/>
      <c r="AD169" s="385"/>
      <c r="AE169" s="385"/>
      <c r="AF169" s="385"/>
      <c r="AG169" s="385"/>
      <c r="AH169" s="385"/>
      <c r="AI169" s="385"/>
      <c r="AJ169" s="385"/>
      <c r="AK169" s="385"/>
      <c r="AL169" s="385"/>
      <c r="AM169" s="385"/>
      <c r="AN169" s="385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  <c r="BI169" s="138"/>
      <c r="BJ169" s="138"/>
      <c r="BK169" s="138"/>
      <c r="BL169" s="138"/>
      <c r="BM169" s="138"/>
      <c r="BN169" s="138"/>
      <c r="BO169" s="138"/>
      <c r="BP169" s="138"/>
      <c r="BQ169" s="138"/>
      <c r="BR169" s="138"/>
      <c r="BS169" s="138"/>
      <c r="BT169" s="138"/>
      <c r="BU169" s="138"/>
      <c r="BV169" s="138"/>
      <c r="BW169" s="138"/>
      <c r="BX169" s="138"/>
      <c r="BY169" s="138"/>
      <c r="BZ169" s="138"/>
    </row>
    <row r="170" spans="1:78" ht="13.8" customHeight="1" thickTop="1" x14ac:dyDescent="0.3">
      <c r="O170" s="344"/>
      <c r="P170" s="344"/>
    </row>
    <row r="171" spans="1:78" ht="13.8" customHeight="1" x14ac:dyDescent="0.3">
      <c r="O171" s="344"/>
      <c r="P171" s="344"/>
    </row>
    <row r="172" spans="1:78" ht="13.8" hidden="1" customHeight="1" x14ac:dyDescent="0.3">
      <c r="G172" s="344">
        <f>G165+G166-J165-J166</f>
        <v>10572</v>
      </c>
      <c r="O172" s="344"/>
      <c r="P172" s="344"/>
    </row>
    <row r="173" spans="1:78" ht="13.8" customHeight="1" x14ac:dyDescent="0.3">
      <c r="O173" s="344"/>
      <c r="P173" s="344"/>
    </row>
    <row r="174" spans="1:78" ht="13.8" customHeight="1" x14ac:dyDescent="0.3">
      <c r="O174" s="344"/>
      <c r="P174" s="344"/>
    </row>
    <row r="175" spans="1:78" ht="13.8" customHeight="1" x14ac:dyDescent="0.3">
      <c r="O175" s="344"/>
      <c r="P175" s="344"/>
    </row>
  </sheetData>
  <mergeCells count="4">
    <mergeCell ref="C3:E3"/>
    <mergeCell ref="L5:M5"/>
    <mergeCell ref="A1:P1"/>
    <mergeCell ref="A2:P2"/>
  </mergeCells>
  <pageMargins left="0.7" right="0.7" top="0.75" bottom="0.75" header="0.3" footer="0.3"/>
  <pageSetup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G7" sqref="G7"/>
    </sheetView>
  </sheetViews>
  <sheetFormatPr defaultRowHeight="14.4" x14ac:dyDescent="0.3"/>
  <cols>
    <col min="1" max="1" width="4.6640625" customWidth="1"/>
    <col min="2" max="2" width="25.109375" customWidth="1"/>
    <col min="3" max="3" width="17.77734375" customWidth="1"/>
    <col min="4" max="4" width="9" bestFit="1" customWidth="1"/>
    <col min="5" max="5" width="12" customWidth="1"/>
    <col min="7" max="7" width="11.44140625" customWidth="1"/>
    <col min="8" max="8" width="11.109375" customWidth="1"/>
    <col min="10" max="10" width="27" customWidth="1"/>
    <col min="11" max="11" width="12.44140625" customWidth="1"/>
    <col min="13" max="13" width="13.109375" customWidth="1"/>
    <col min="14" max="14" width="9.77734375" customWidth="1"/>
    <col min="15" max="15" width="11.109375" customWidth="1"/>
    <col min="16" max="17" width="9.77734375" customWidth="1"/>
    <col min="18" max="18" width="10.33203125" customWidth="1"/>
    <col min="19" max="19" width="11.5546875" customWidth="1"/>
  </cols>
  <sheetData>
    <row r="1" spans="1:26" ht="14.25" customHeight="1" x14ac:dyDescent="0.3">
      <c r="A1" s="136"/>
      <c r="B1" t="s">
        <v>353</v>
      </c>
    </row>
    <row r="2" spans="1:26" ht="14.25" customHeight="1" thickBot="1" x14ac:dyDescent="0.35">
      <c r="A2" s="136"/>
    </row>
    <row r="3" spans="1:26" ht="16.2" thickBot="1" x14ac:dyDescent="0.35">
      <c r="A3" s="136"/>
      <c r="B3" s="302" t="s">
        <v>439</v>
      </c>
      <c r="C3" s="303"/>
      <c r="D3" s="197"/>
      <c r="E3" s="304"/>
      <c r="F3" s="305" t="s">
        <v>387</v>
      </c>
      <c r="G3" s="304"/>
      <c r="H3" s="197"/>
      <c r="I3" s="353" t="s">
        <v>425</v>
      </c>
      <c r="J3" s="197"/>
      <c r="K3" s="354" t="s">
        <v>388</v>
      </c>
      <c r="L3" s="354" t="s">
        <v>389</v>
      </c>
      <c r="M3" s="197"/>
      <c r="N3" s="306"/>
    </row>
    <row r="4" spans="1:26" ht="15" thickBot="1" x14ac:dyDescent="0.35">
      <c r="A4" s="136"/>
      <c r="B4" s="307"/>
      <c r="C4" s="198"/>
      <c r="D4" s="308" t="s">
        <v>183</v>
      </c>
      <c r="E4" s="309" t="s">
        <v>184</v>
      </c>
      <c r="F4" s="309" t="s">
        <v>390</v>
      </c>
      <c r="G4" s="309" t="s">
        <v>215</v>
      </c>
      <c r="H4" s="308" t="s">
        <v>182</v>
      </c>
      <c r="I4" s="308" t="s">
        <v>426</v>
      </c>
      <c r="J4" s="308" t="s">
        <v>185</v>
      </c>
      <c r="K4" s="355" t="s">
        <v>437</v>
      </c>
      <c r="L4" s="391">
        <v>0.36538461538461536</v>
      </c>
      <c r="M4" s="308" t="s">
        <v>391</v>
      </c>
      <c r="N4" s="310" t="s">
        <v>392</v>
      </c>
    </row>
    <row r="5" spans="1:26" ht="36" customHeight="1" x14ac:dyDescent="0.3">
      <c r="A5" s="136"/>
      <c r="B5" s="311" t="s">
        <v>393</v>
      </c>
      <c r="C5" s="312"/>
      <c r="D5" s="1"/>
      <c r="E5" s="313"/>
      <c r="F5" s="313"/>
      <c r="G5" s="313"/>
      <c r="H5" s="313"/>
      <c r="I5" s="313"/>
      <c r="J5" s="313"/>
      <c r="K5" s="19"/>
      <c r="L5" s="359"/>
      <c r="M5" s="1"/>
      <c r="N5" s="314"/>
      <c r="Z5" s="1"/>
    </row>
    <row r="6" spans="1:26" x14ac:dyDescent="0.3">
      <c r="A6" s="136"/>
      <c r="B6" s="315" t="s">
        <v>394</v>
      </c>
      <c r="C6" s="1" t="s">
        <v>395</v>
      </c>
      <c r="D6" s="1">
        <v>158</v>
      </c>
      <c r="E6" s="313">
        <v>363564.36000000004</v>
      </c>
      <c r="F6" s="316">
        <v>0.99</v>
      </c>
      <c r="G6" s="313">
        <v>359928.71640000003</v>
      </c>
      <c r="H6" s="313">
        <v>346548.39999999997</v>
      </c>
      <c r="I6" s="316">
        <v>1.0497303406969993</v>
      </c>
      <c r="J6" s="313">
        <v>363782.37</v>
      </c>
      <c r="K6" s="19">
        <v>146018.68</v>
      </c>
      <c r="L6" s="91">
        <v>0.4016308969339018</v>
      </c>
      <c r="M6" s="317">
        <v>2301.0402531645573</v>
      </c>
      <c r="N6" s="318">
        <v>2193.344303797468</v>
      </c>
    </row>
    <row r="7" spans="1:26" x14ac:dyDescent="0.3">
      <c r="A7" s="136"/>
      <c r="B7" s="315"/>
      <c r="C7" s="1" t="s">
        <v>440</v>
      </c>
      <c r="D7" s="1"/>
      <c r="E7" s="313"/>
      <c r="F7" s="316"/>
      <c r="G7" s="433">
        <f>805+1745</f>
        <v>2550</v>
      </c>
      <c r="H7" s="313"/>
      <c r="I7" s="316"/>
      <c r="J7" s="313"/>
      <c r="K7" s="19"/>
      <c r="L7" s="91"/>
      <c r="M7" s="317"/>
      <c r="N7" s="318"/>
    </row>
    <row r="8" spans="1:26" x14ac:dyDescent="0.3">
      <c r="A8" s="191"/>
      <c r="B8" s="315" t="s">
        <v>396</v>
      </c>
      <c r="C8" s="1" t="s">
        <v>397</v>
      </c>
      <c r="D8" s="1">
        <v>33</v>
      </c>
      <c r="E8" s="313">
        <v>38460</v>
      </c>
      <c r="F8" s="316">
        <v>0.8</v>
      </c>
      <c r="G8" s="313">
        <v>30768</v>
      </c>
      <c r="H8" s="313">
        <v>0</v>
      </c>
      <c r="I8" s="316"/>
      <c r="J8" s="313">
        <v>7150</v>
      </c>
      <c r="K8" s="19">
        <v>13550</v>
      </c>
      <c r="L8" s="91">
        <v>0.35231409256370255</v>
      </c>
      <c r="M8" s="317">
        <v>1165.4545454545455</v>
      </c>
      <c r="N8" s="322">
        <v>0</v>
      </c>
    </row>
    <row r="9" spans="1:26" x14ac:dyDescent="0.3">
      <c r="A9" s="191"/>
      <c r="B9" s="315" t="s">
        <v>398</v>
      </c>
      <c r="C9" s="1" t="s">
        <v>399</v>
      </c>
      <c r="D9" s="1">
        <v>22</v>
      </c>
      <c r="E9" s="19">
        <v>13090</v>
      </c>
      <c r="F9" s="90">
        <v>0.9</v>
      </c>
      <c r="G9" s="313">
        <v>11781</v>
      </c>
      <c r="H9" s="313">
        <v>20340.440000000002</v>
      </c>
      <c r="I9" s="316">
        <v>0.84025419312463234</v>
      </c>
      <c r="J9" s="313">
        <v>17091.14</v>
      </c>
      <c r="K9" s="19">
        <v>3509</v>
      </c>
      <c r="L9" s="91">
        <v>0.26806722689075629</v>
      </c>
      <c r="M9" s="317">
        <v>595</v>
      </c>
      <c r="N9" s="318">
        <v>776.87</v>
      </c>
    </row>
    <row r="10" spans="1:26" x14ac:dyDescent="0.3">
      <c r="A10" s="136"/>
      <c r="B10" s="315" t="s">
        <v>406</v>
      </c>
      <c r="C10" s="1" t="s">
        <v>430</v>
      </c>
      <c r="D10" s="319">
        <v>20</v>
      </c>
      <c r="E10" s="320">
        <v>14440</v>
      </c>
      <c r="F10" s="321">
        <v>0.8</v>
      </c>
      <c r="G10" s="320">
        <v>11552</v>
      </c>
      <c r="H10" s="320">
        <v>0</v>
      </c>
      <c r="I10" s="321"/>
      <c r="J10" s="320">
        <v>0</v>
      </c>
      <c r="K10" s="356">
        <v>0</v>
      </c>
      <c r="L10" s="360">
        <v>0</v>
      </c>
      <c r="M10" s="392">
        <v>722</v>
      </c>
      <c r="N10" s="393">
        <v>0</v>
      </c>
    </row>
    <row r="11" spans="1:26" x14ac:dyDescent="0.3">
      <c r="A11" s="136"/>
      <c r="B11" s="315"/>
      <c r="C11" s="1"/>
      <c r="D11" s="1"/>
      <c r="E11" s="313"/>
      <c r="F11" s="316"/>
      <c r="G11" s="313"/>
      <c r="H11" s="313"/>
      <c r="I11" s="316"/>
      <c r="J11" s="313"/>
      <c r="K11" s="19"/>
      <c r="L11" s="359"/>
      <c r="M11" s="1"/>
      <c r="N11" s="314"/>
    </row>
    <row r="12" spans="1:26" x14ac:dyDescent="0.3">
      <c r="A12" s="136"/>
      <c r="B12" s="357" t="s">
        <v>427</v>
      </c>
      <c r="C12" s="1"/>
      <c r="D12" s="1">
        <v>233</v>
      </c>
      <c r="E12" s="313">
        <v>429554.36000000004</v>
      </c>
      <c r="F12" s="316"/>
      <c r="G12" s="313">
        <f>SUM(G6:G11)</f>
        <v>416579.71640000003</v>
      </c>
      <c r="H12" s="313">
        <v>366888.83999999997</v>
      </c>
      <c r="I12" s="316"/>
      <c r="J12" s="313">
        <v>388023.51</v>
      </c>
      <c r="K12" s="313">
        <v>163077.68</v>
      </c>
      <c r="L12" s="91">
        <v>0.39387916746161361</v>
      </c>
      <c r="M12" s="1"/>
      <c r="N12" s="314"/>
    </row>
    <row r="13" spans="1:26" x14ac:dyDescent="0.3">
      <c r="A13" s="136"/>
      <c r="B13" s="315"/>
      <c r="C13" s="1"/>
      <c r="D13" s="1"/>
      <c r="E13" s="313"/>
      <c r="F13" s="313"/>
      <c r="G13" s="313"/>
      <c r="H13" s="1"/>
      <c r="I13" s="1"/>
      <c r="J13" s="1"/>
      <c r="K13" s="1"/>
      <c r="L13" s="361"/>
      <c r="M13" s="1"/>
      <c r="N13" s="314"/>
    </row>
    <row r="14" spans="1:26" x14ac:dyDescent="0.3">
      <c r="A14" s="136"/>
      <c r="B14" s="324" t="s">
        <v>428</v>
      </c>
      <c r="C14" s="1"/>
      <c r="D14" s="1"/>
      <c r="E14" s="313"/>
      <c r="F14" s="313"/>
      <c r="G14" s="313"/>
      <c r="H14" s="1"/>
      <c r="I14" s="1"/>
      <c r="J14" s="1"/>
      <c r="K14" s="1"/>
      <c r="L14" s="361"/>
      <c r="M14" s="1"/>
      <c r="N14" s="314"/>
    </row>
    <row r="15" spans="1:26" x14ac:dyDescent="0.3">
      <c r="A15" s="136"/>
      <c r="B15" s="315" t="s">
        <v>400</v>
      </c>
      <c r="C15" s="1" t="s">
        <v>401</v>
      </c>
      <c r="D15" s="1">
        <v>20</v>
      </c>
      <c r="E15" s="313">
        <v>0</v>
      </c>
      <c r="F15" s="316"/>
      <c r="G15" s="323">
        <v>0</v>
      </c>
      <c r="H15" s="313">
        <v>22328.080000000002</v>
      </c>
      <c r="I15" s="316">
        <v>0.53202066635375722</v>
      </c>
      <c r="J15" s="313">
        <v>11879</v>
      </c>
      <c r="K15" s="19">
        <v>1180</v>
      </c>
      <c r="L15" s="91"/>
      <c r="N15" s="314"/>
    </row>
    <row r="16" spans="1:26" x14ac:dyDescent="0.3">
      <c r="A16" s="136"/>
      <c r="B16" s="315" t="s">
        <v>402</v>
      </c>
      <c r="C16" s="1" t="s">
        <v>403</v>
      </c>
      <c r="D16" s="1">
        <v>14</v>
      </c>
      <c r="E16" s="313">
        <v>0</v>
      </c>
      <c r="F16" s="316"/>
      <c r="G16" s="323">
        <v>0</v>
      </c>
      <c r="H16" s="313">
        <v>10402.16</v>
      </c>
      <c r="I16" s="316">
        <v>9.6133879886485117E-4</v>
      </c>
      <c r="J16" s="313">
        <v>10</v>
      </c>
      <c r="K16" s="19">
        <v>30</v>
      </c>
      <c r="L16" s="91"/>
      <c r="M16" s="1"/>
      <c r="N16" s="314"/>
    </row>
    <row r="17" spans="1:14" x14ac:dyDescent="0.3">
      <c r="A17" s="191"/>
      <c r="B17" s="315" t="s">
        <v>404</v>
      </c>
      <c r="C17" s="4" t="s">
        <v>405</v>
      </c>
      <c r="D17" s="1">
        <v>5</v>
      </c>
      <c r="E17" s="313">
        <v>0</v>
      </c>
      <c r="F17" s="316"/>
      <c r="G17" s="323">
        <v>0</v>
      </c>
      <c r="H17" s="313">
        <v>0</v>
      </c>
      <c r="I17" s="316"/>
      <c r="J17" s="313">
        <v>415</v>
      </c>
      <c r="K17" s="19">
        <v>10</v>
      </c>
      <c r="L17" s="91"/>
      <c r="M17" s="1"/>
      <c r="N17" s="314"/>
    </row>
    <row r="18" spans="1:14" x14ac:dyDescent="0.3">
      <c r="A18" s="191"/>
      <c r="B18" s="315" t="s">
        <v>431</v>
      </c>
      <c r="C18" s="358" t="s">
        <v>432</v>
      </c>
      <c r="D18" s="1">
        <v>82</v>
      </c>
      <c r="E18" s="320">
        <v>24860</v>
      </c>
      <c r="F18" s="321"/>
      <c r="G18" s="356">
        <v>24860</v>
      </c>
      <c r="H18" s="320"/>
      <c r="I18" s="321"/>
      <c r="J18" s="320"/>
      <c r="K18" s="356">
        <v>2812</v>
      </c>
      <c r="M18" s="1" t="s">
        <v>433</v>
      </c>
      <c r="N18" s="314"/>
    </row>
    <row r="19" spans="1:14" x14ac:dyDescent="0.3">
      <c r="A19" s="136"/>
      <c r="B19" s="315"/>
      <c r="C19" s="1"/>
      <c r="D19" s="1"/>
      <c r="E19" s="313">
        <v>24860</v>
      </c>
      <c r="F19" s="316"/>
      <c r="G19" s="313">
        <v>24860</v>
      </c>
      <c r="H19" s="313">
        <v>32730.240000000002</v>
      </c>
      <c r="I19" s="316"/>
      <c r="J19" s="313">
        <v>12304</v>
      </c>
      <c r="K19" s="313">
        <v>4032</v>
      </c>
      <c r="L19" s="91">
        <v>0.16218825422365246</v>
      </c>
      <c r="M19" s="1" t="s">
        <v>436</v>
      </c>
      <c r="N19" s="314"/>
    </row>
    <row r="20" spans="1:14" x14ac:dyDescent="0.3">
      <c r="B20" s="315"/>
      <c r="C20" s="1"/>
      <c r="D20" s="1"/>
      <c r="E20" s="313"/>
      <c r="F20" s="316"/>
      <c r="G20" s="313"/>
      <c r="H20" s="1"/>
      <c r="I20" s="1"/>
      <c r="J20" s="1"/>
      <c r="K20" s="4"/>
      <c r="L20" s="362"/>
      <c r="M20" s="1"/>
      <c r="N20" s="314"/>
    </row>
    <row r="21" spans="1:14" ht="15" thickBot="1" x14ac:dyDescent="0.35">
      <c r="B21" s="325" t="s">
        <v>407</v>
      </c>
      <c r="C21" s="326"/>
      <c r="D21" s="327">
        <v>233</v>
      </c>
      <c r="E21" s="328">
        <v>454414.36000000004</v>
      </c>
      <c r="F21" s="329"/>
      <c r="G21" s="328">
        <v>438889.71640000003</v>
      </c>
      <c r="H21" s="328">
        <v>399619.07999999996</v>
      </c>
      <c r="I21" s="328"/>
      <c r="J21" s="328">
        <v>400327.51</v>
      </c>
      <c r="K21" s="328">
        <v>167109.68</v>
      </c>
      <c r="L21" s="394">
        <v>0.38075551500891802</v>
      </c>
      <c r="M21" s="330" t="s">
        <v>429</v>
      </c>
      <c r="N21" s="331"/>
    </row>
    <row r="22" spans="1:14" x14ac:dyDescent="0.3">
      <c r="B22" s="332"/>
      <c r="C22" s="197"/>
      <c r="D22" s="197"/>
      <c r="E22" s="304"/>
      <c r="F22" s="333"/>
      <c r="G22" s="304"/>
      <c r="H22" s="197"/>
      <c r="I22" s="197"/>
      <c r="J22" s="197"/>
      <c r="K22" s="197"/>
      <c r="L22" s="363"/>
      <c r="M22" s="197"/>
      <c r="N22" s="306"/>
    </row>
    <row r="23" spans="1:14" x14ac:dyDescent="0.3">
      <c r="B23" s="315" t="s">
        <v>434</v>
      </c>
      <c r="C23" s="1"/>
      <c r="D23" s="1">
        <v>2017</v>
      </c>
      <c r="E23" s="313">
        <v>429554.36000000004</v>
      </c>
      <c r="F23" s="316"/>
      <c r="G23" s="395">
        <v>2016</v>
      </c>
      <c r="H23" s="317">
        <v>399619.07999999996</v>
      </c>
      <c r="I23" s="317"/>
      <c r="J23" s="1"/>
      <c r="K23" s="1"/>
      <c r="L23" s="361"/>
      <c r="M23" s="1"/>
      <c r="N23" s="314"/>
    </row>
    <row r="24" spans="1:14" x14ac:dyDescent="0.3">
      <c r="B24" s="315" t="s">
        <v>408</v>
      </c>
      <c r="C24" s="1"/>
      <c r="D24" s="1"/>
      <c r="E24" s="313"/>
      <c r="F24" s="316"/>
      <c r="G24" s="313"/>
      <c r="H24" s="1"/>
      <c r="I24" s="1"/>
      <c r="J24" s="317">
        <v>390197.51</v>
      </c>
      <c r="K24" s="317"/>
      <c r="L24" s="317"/>
      <c r="M24" s="1"/>
      <c r="N24" s="314"/>
    </row>
    <row r="25" spans="1:14" x14ac:dyDescent="0.3">
      <c r="B25" s="315" t="s">
        <v>409</v>
      </c>
      <c r="C25" s="1"/>
      <c r="D25" s="1"/>
      <c r="E25" s="313"/>
      <c r="F25" s="316"/>
      <c r="G25" s="313"/>
      <c r="H25" s="1"/>
      <c r="I25" s="1"/>
      <c r="J25" s="334">
        <v>0.97642362321638909</v>
      </c>
      <c r="K25" s="334"/>
      <c r="L25" s="334"/>
      <c r="M25" s="1"/>
      <c r="N25" s="314"/>
    </row>
    <row r="26" spans="1:14" x14ac:dyDescent="0.3">
      <c r="B26" s="88" t="s">
        <v>410</v>
      </c>
      <c r="C26" s="4"/>
      <c r="D26" s="1"/>
      <c r="E26" s="313"/>
      <c r="F26" s="313"/>
      <c r="G26" s="313"/>
      <c r="H26" s="1"/>
      <c r="I26" s="1"/>
      <c r="J26" s="320">
        <v>19487.2</v>
      </c>
      <c r="K26" s="313"/>
      <c r="L26" s="313"/>
      <c r="M26" s="1"/>
      <c r="N26" s="314"/>
    </row>
    <row r="27" spans="1:14" ht="15" thickBot="1" x14ac:dyDescent="0.35">
      <c r="B27" s="307" t="s">
        <v>411</v>
      </c>
      <c r="C27" s="198"/>
      <c r="D27" s="198"/>
      <c r="E27" s="335"/>
      <c r="F27" s="335"/>
      <c r="G27" s="335"/>
      <c r="H27" s="198"/>
      <c r="I27" s="198"/>
      <c r="J27" s="336">
        <v>409684.71</v>
      </c>
      <c r="K27" s="336"/>
      <c r="L27" s="336"/>
      <c r="M27" s="198"/>
      <c r="N27" s="337"/>
    </row>
    <row r="28" spans="1:14" x14ac:dyDescent="0.3">
      <c r="E28" s="396"/>
      <c r="F28" s="396"/>
      <c r="G28" s="396"/>
    </row>
    <row r="31" spans="1:14" ht="15" thickBot="1" x14ac:dyDescent="0.35"/>
    <row r="32" spans="1:14" x14ac:dyDescent="0.3">
      <c r="B32" s="101" t="s">
        <v>292</v>
      </c>
      <c r="C32" s="368"/>
      <c r="D32" s="369"/>
      <c r="E32" s="369"/>
      <c r="F32" s="369"/>
      <c r="G32" s="369"/>
      <c r="H32" s="369"/>
      <c r="I32" s="370"/>
    </row>
    <row r="33" spans="2:9" x14ac:dyDescent="0.3">
      <c r="B33" s="105"/>
      <c r="C33" s="97" t="s">
        <v>225</v>
      </c>
      <c r="D33" s="97" t="s">
        <v>221</v>
      </c>
      <c r="E33" s="72" t="s">
        <v>222</v>
      </c>
      <c r="F33" s="97" t="s">
        <v>218</v>
      </c>
      <c r="G33" s="72" t="s">
        <v>220</v>
      </c>
      <c r="H33" s="72" t="s">
        <v>219</v>
      </c>
      <c r="I33" s="110" t="s">
        <v>215</v>
      </c>
    </row>
    <row r="34" spans="2:9" x14ac:dyDescent="0.3">
      <c r="B34" s="109" t="s">
        <v>217</v>
      </c>
      <c r="C34" s="82">
        <v>2</v>
      </c>
      <c r="D34" s="18">
        <f>M8</f>
        <v>1165.4545454545455</v>
      </c>
      <c r="E34" s="98">
        <f>D34/12</f>
        <v>97.121212121212125</v>
      </c>
      <c r="F34" s="82">
        <v>12</v>
      </c>
      <c r="G34" s="94">
        <f>C34*E34*F34</f>
        <v>2330.909090909091</v>
      </c>
      <c r="H34" s="82"/>
      <c r="I34" s="83"/>
    </row>
    <row r="35" spans="2:9" x14ac:dyDescent="0.3">
      <c r="B35" s="109" t="s">
        <v>223</v>
      </c>
      <c r="C35" s="82">
        <v>6</v>
      </c>
      <c r="D35" s="94">
        <f>D34</f>
        <v>1165.4545454545455</v>
      </c>
      <c r="E35" s="98">
        <f>E34</f>
        <v>97.121212121212125</v>
      </c>
      <c r="F35" s="82">
        <v>9</v>
      </c>
      <c r="G35" s="94">
        <f>C35*E35*F35</f>
        <v>5244.545454545455</v>
      </c>
      <c r="H35" s="82"/>
      <c r="I35" s="83"/>
    </row>
    <row r="36" spans="2:9" x14ac:dyDescent="0.3">
      <c r="B36" s="109" t="s">
        <v>224</v>
      </c>
      <c r="C36" s="82">
        <v>6</v>
      </c>
      <c r="D36" s="94">
        <f>D35</f>
        <v>1165.4545454545455</v>
      </c>
      <c r="E36" s="98">
        <f>E35</f>
        <v>97.121212121212125</v>
      </c>
      <c r="F36" s="82">
        <v>5</v>
      </c>
      <c r="G36" s="94">
        <f>C36*E36*F36</f>
        <v>2913.636363636364</v>
      </c>
      <c r="H36" s="82"/>
      <c r="I36" s="106"/>
    </row>
    <row r="37" spans="2:9" x14ac:dyDescent="0.3">
      <c r="B37" s="109" t="s">
        <v>217</v>
      </c>
      <c r="C37" s="99">
        <v>6</v>
      </c>
      <c r="D37" s="94">
        <f>D34</f>
        <v>1165.4545454545455</v>
      </c>
      <c r="E37" s="98">
        <f>E36</f>
        <v>97.121212121212125</v>
      </c>
      <c r="F37" s="82">
        <v>2</v>
      </c>
      <c r="G37" s="100">
        <f>C37*E37*F37</f>
        <v>1165.4545454545455</v>
      </c>
      <c r="H37" s="82"/>
      <c r="I37" s="83"/>
    </row>
    <row r="38" spans="2:9" ht="15" thickBot="1" x14ac:dyDescent="0.35">
      <c r="B38" s="270" t="s">
        <v>352</v>
      </c>
      <c r="C38" s="84">
        <f>SUM(C34:C37)</f>
        <v>20</v>
      </c>
      <c r="D38" s="84"/>
      <c r="E38" s="84"/>
      <c r="F38" s="84"/>
      <c r="G38" s="245">
        <f>SUM(G34:G37)</f>
        <v>11654.545454545456</v>
      </c>
      <c r="H38" s="287">
        <v>0.8</v>
      </c>
      <c r="I38" s="111">
        <f>G38*H38</f>
        <v>9323.6363636363658</v>
      </c>
    </row>
  </sheetData>
  <pageMargins left="0.7" right="0.7" top="0.75" bottom="0.75" header="0.3" footer="0.3"/>
  <pageSetup scale="6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7" sqref="F17"/>
    </sheetView>
  </sheetViews>
  <sheetFormatPr defaultRowHeight="14.4" x14ac:dyDescent="0.3"/>
  <cols>
    <col min="1" max="1" width="44.109375" customWidth="1"/>
  </cols>
  <sheetData>
    <row r="1" spans="1:6" x14ac:dyDescent="0.3">
      <c r="A1" s="142" t="s">
        <v>254</v>
      </c>
      <c r="B1" t="s">
        <v>263</v>
      </c>
      <c r="C1" t="s">
        <v>265</v>
      </c>
      <c r="D1" t="s">
        <v>264</v>
      </c>
      <c r="E1" t="s">
        <v>265</v>
      </c>
    </row>
    <row r="2" spans="1:6" ht="25.2" x14ac:dyDescent="0.3">
      <c r="A2" s="143" t="s">
        <v>255</v>
      </c>
      <c r="B2">
        <v>4900.26</v>
      </c>
      <c r="C2">
        <v>1</v>
      </c>
      <c r="D2">
        <v>5017.8599999999997</v>
      </c>
      <c r="E2">
        <v>11</v>
      </c>
      <c r="F2">
        <f>(B2*C2)+(D2*E2)</f>
        <v>60096.72</v>
      </c>
    </row>
    <row r="3" spans="1:6" ht="25.2" x14ac:dyDescent="0.3">
      <c r="A3" s="143" t="s">
        <v>256</v>
      </c>
      <c r="B3">
        <v>5097.8599999999997</v>
      </c>
      <c r="C3">
        <v>1</v>
      </c>
      <c r="D3">
        <v>5138.29</v>
      </c>
      <c r="E3">
        <v>11</v>
      </c>
      <c r="F3">
        <f>(B3*C3)+(D3*E3)</f>
        <v>61619.05</v>
      </c>
    </row>
    <row r="4" spans="1:6" ht="25.2" x14ac:dyDescent="0.3">
      <c r="A4" s="143" t="s">
        <v>257</v>
      </c>
    </row>
    <row r="5" spans="1:6" x14ac:dyDescent="0.3">
      <c r="A5" s="142" t="s">
        <v>258</v>
      </c>
    </row>
    <row r="6" spans="1:6" ht="25.2" x14ac:dyDescent="0.3">
      <c r="A6" s="142" t="s">
        <v>259</v>
      </c>
    </row>
    <row r="8" spans="1:6" x14ac:dyDescent="0.3">
      <c r="A8" s="142" t="s">
        <v>260</v>
      </c>
    </row>
    <row r="9" spans="1:6" ht="37.799999999999997" x14ac:dyDescent="0.3">
      <c r="A9" s="142" t="s">
        <v>261</v>
      </c>
    </row>
    <row r="11" spans="1:6" ht="25.2" x14ac:dyDescent="0.3">
      <c r="A11" s="143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F17" sqref="F17"/>
    </sheetView>
  </sheetViews>
  <sheetFormatPr defaultRowHeight="14.4" x14ac:dyDescent="0.3"/>
  <cols>
    <col min="1" max="1" width="1.6640625" customWidth="1"/>
    <col min="2" max="2" width="2.6640625" customWidth="1"/>
    <col min="3" max="3" width="3.33203125" customWidth="1"/>
    <col min="4" max="4" width="3.109375" customWidth="1"/>
    <col min="5" max="5" width="1.44140625" customWidth="1"/>
    <col min="6" max="6" width="26.109375" customWidth="1"/>
    <col min="7" max="7" width="12.5546875" customWidth="1"/>
    <col min="8" max="8" width="10" bestFit="1" customWidth="1"/>
    <col min="9" max="9" width="10.88671875" customWidth="1"/>
    <col min="10" max="10" width="10.5546875" bestFit="1" customWidth="1"/>
    <col min="12" max="12" width="11.5546875" bestFit="1" customWidth="1"/>
  </cols>
  <sheetData>
    <row r="1" spans="1:12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3">
      <c r="A2" s="138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3">
      <c r="A3" s="4"/>
      <c r="B3" s="4"/>
      <c r="C3" s="4"/>
      <c r="D3" s="4"/>
      <c r="E3" s="4"/>
      <c r="F3" s="139"/>
      <c r="G3" s="140"/>
      <c r="H3" s="140"/>
      <c r="I3" s="140"/>
      <c r="J3" s="4"/>
      <c r="K3" s="4"/>
      <c r="L3" s="4"/>
    </row>
    <row r="4" spans="1:12" x14ac:dyDescent="0.3">
      <c r="A4" s="4"/>
      <c r="B4" s="4"/>
      <c r="C4" s="4"/>
      <c r="D4" s="4"/>
      <c r="E4" s="4"/>
      <c r="F4" s="87"/>
      <c r="G4" s="4" t="s">
        <v>266</v>
      </c>
      <c r="H4" s="4" t="s">
        <v>241</v>
      </c>
      <c r="I4" s="4" t="s">
        <v>267</v>
      </c>
      <c r="J4" s="4" t="s">
        <v>278</v>
      </c>
      <c r="K4" s="4"/>
      <c r="L4" s="4"/>
    </row>
    <row r="5" spans="1:12" x14ac:dyDescent="0.3">
      <c r="A5" s="4"/>
      <c r="B5" s="4"/>
      <c r="C5" s="4"/>
      <c r="D5" s="4"/>
      <c r="E5" s="24" t="s">
        <v>74</v>
      </c>
      <c r="F5" s="24"/>
      <c r="G5" s="43"/>
      <c r="H5" s="44"/>
      <c r="I5" s="141"/>
      <c r="J5" s="4"/>
      <c r="K5" s="4" t="s">
        <v>287</v>
      </c>
      <c r="L5" s="4"/>
    </row>
    <row r="6" spans="1:12" x14ac:dyDescent="0.3">
      <c r="A6" s="4"/>
      <c r="B6" s="4"/>
      <c r="C6" s="4"/>
      <c r="D6" s="4"/>
      <c r="E6" s="24"/>
      <c r="F6" s="24" t="s">
        <v>75</v>
      </c>
      <c r="G6" s="48">
        <v>847.68</v>
      </c>
      <c r="H6" s="49">
        <f>G6</f>
        <v>847.68</v>
      </c>
      <c r="I6" s="141">
        <f>G6+(G6*0.02)</f>
        <v>864.6336</v>
      </c>
      <c r="J6" s="141"/>
      <c r="K6" s="4"/>
      <c r="L6" s="4"/>
    </row>
    <row r="7" spans="1:12" x14ac:dyDescent="0.3">
      <c r="A7" s="4"/>
      <c r="B7" s="4"/>
      <c r="C7" s="4"/>
      <c r="D7" s="4"/>
      <c r="E7" s="24"/>
      <c r="F7" s="24" t="s">
        <v>76</v>
      </c>
      <c r="G7" s="48">
        <v>25000</v>
      </c>
      <c r="H7" s="49">
        <f>G7</f>
        <v>25000</v>
      </c>
      <c r="I7" s="141">
        <f>G7+(G7*0.02)</f>
        <v>25500</v>
      </c>
      <c r="J7" s="141"/>
      <c r="K7" s="4"/>
      <c r="L7" s="4"/>
    </row>
    <row r="8" spans="1:12" x14ac:dyDescent="0.3">
      <c r="A8" s="4"/>
      <c r="B8" s="4"/>
      <c r="C8" s="4"/>
      <c r="D8" s="4"/>
      <c r="E8" s="24"/>
      <c r="F8" s="24" t="s">
        <v>77</v>
      </c>
      <c r="G8" s="48">
        <v>8476.76</v>
      </c>
      <c r="H8" s="49">
        <f>G8</f>
        <v>8476.76</v>
      </c>
      <c r="I8" s="141">
        <f>G8+(G8*0.02)</f>
        <v>8646.2952000000005</v>
      </c>
      <c r="J8" s="141"/>
      <c r="K8" s="4"/>
      <c r="L8" s="4"/>
    </row>
    <row r="9" spans="1:12" x14ac:dyDescent="0.3">
      <c r="A9" s="4"/>
      <c r="B9" s="4"/>
      <c r="C9" s="4"/>
      <c r="D9" s="4"/>
      <c r="E9" s="24"/>
      <c r="F9" s="24" t="s">
        <v>78</v>
      </c>
      <c r="G9" s="48">
        <v>10541.79</v>
      </c>
      <c r="H9" s="49">
        <f>G9</f>
        <v>10541.79</v>
      </c>
      <c r="I9" s="141">
        <f>G9+(G9*0.02)</f>
        <v>10752.625800000002</v>
      </c>
      <c r="J9" s="141"/>
      <c r="K9" s="4"/>
      <c r="L9" s="4"/>
    </row>
    <row r="10" spans="1:12" x14ac:dyDescent="0.3">
      <c r="A10" s="4"/>
      <c r="B10" s="4"/>
      <c r="C10" s="4"/>
      <c r="D10" s="4"/>
      <c r="E10" s="24"/>
      <c r="F10" s="24" t="s">
        <v>79</v>
      </c>
      <c r="G10" s="48">
        <v>66252.350000000006</v>
      </c>
      <c r="H10" s="49">
        <f>G10</f>
        <v>66252.350000000006</v>
      </c>
      <c r="I10" s="141">
        <f>G10+(G10*0.02)</f>
        <v>67577.397000000012</v>
      </c>
      <c r="J10" s="141"/>
      <c r="K10" s="4"/>
      <c r="L10" s="4"/>
    </row>
    <row r="11" spans="1:12" x14ac:dyDescent="0.3">
      <c r="A11" s="4"/>
      <c r="B11" s="4"/>
      <c r="C11" s="4"/>
      <c r="D11" s="4"/>
      <c r="E11" s="24"/>
      <c r="F11" s="24" t="s">
        <v>176</v>
      </c>
      <c r="G11" s="48">
        <v>13000</v>
      </c>
      <c r="H11" s="49"/>
      <c r="I11" s="141"/>
      <c r="J11" s="141"/>
      <c r="K11" s="4"/>
      <c r="L11" s="4"/>
    </row>
    <row r="12" spans="1:12" ht="15" thickBot="1" x14ac:dyDescent="0.35">
      <c r="A12" s="4"/>
      <c r="B12" s="4"/>
      <c r="C12" s="4"/>
      <c r="D12" s="4"/>
      <c r="E12" s="24"/>
      <c r="F12" s="24" t="s">
        <v>177</v>
      </c>
      <c r="G12" s="50">
        <v>1000</v>
      </c>
      <c r="H12" s="49"/>
      <c r="I12" s="141"/>
      <c r="J12" s="141"/>
      <c r="K12" s="4"/>
      <c r="L12" s="4"/>
    </row>
    <row r="13" spans="1:12" x14ac:dyDescent="0.3">
      <c r="A13" s="4"/>
      <c r="B13" s="4"/>
      <c r="C13" s="4"/>
      <c r="D13" s="4"/>
      <c r="E13" s="24" t="s">
        <v>80</v>
      </c>
      <c r="F13" s="24"/>
      <c r="G13" s="48">
        <f>ROUND(SUM(G5:G12),5)</f>
        <v>125118.58</v>
      </c>
      <c r="H13" s="48">
        <f>ROUND(SUM(H5:H12),5)</f>
        <v>111118.58</v>
      </c>
      <c r="I13" s="48">
        <f>ROUND(SUM(I5:I12),5)</f>
        <v>113340.9516</v>
      </c>
      <c r="J13" s="141"/>
      <c r="K13" s="89">
        <f>I7+I10</f>
        <v>93077.397000000012</v>
      </c>
      <c r="L13" s="4"/>
    </row>
    <row r="14" spans="1:12" x14ac:dyDescent="0.3">
      <c r="A14" s="4"/>
      <c r="B14" s="4"/>
      <c r="C14" s="4"/>
      <c r="D14" s="4"/>
      <c r="E14" s="24" t="s">
        <v>81</v>
      </c>
      <c r="F14" s="24"/>
      <c r="G14" s="48"/>
      <c r="H14" s="44"/>
      <c r="I14" s="141"/>
      <c r="J14" s="141"/>
      <c r="K14" s="4"/>
      <c r="L14" s="4"/>
    </row>
    <row r="15" spans="1:12" x14ac:dyDescent="0.3">
      <c r="A15" s="4"/>
      <c r="B15" s="4"/>
      <c r="C15" s="4"/>
      <c r="D15" s="4"/>
      <c r="E15" s="24"/>
      <c r="F15" s="24" t="s">
        <v>82</v>
      </c>
      <c r="G15" s="48">
        <v>455.05</v>
      </c>
      <c r="H15" s="49">
        <f t="shared" ref="H15:H20" si="0">G15</f>
        <v>455.05</v>
      </c>
      <c r="I15" s="141">
        <f t="shared" ref="I15:I20" si="1">G15+(G15*0.02)</f>
        <v>464.15100000000001</v>
      </c>
      <c r="J15" s="4"/>
      <c r="K15" s="4"/>
      <c r="L15" s="4"/>
    </row>
    <row r="16" spans="1:12" x14ac:dyDescent="0.3">
      <c r="A16" s="4"/>
      <c r="B16" s="4"/>
      <c r="C16" s="4"/>
      <c r="D16" s="4"/>
      <c r="E16" s="24"/>
      <c r="F16" s="24" t="s">
        <v>83</v>
      </c>
      <c r="G16" s="48">
        <v>16000</v>
      </c>
      <c r="H16" s="49">
        <f t="shared" si="0"/>
        <v>16000</v>
      </c>
      <c r="I16" s="141">
        <f t="shared" si="1"/>
        <v>16320</v>
      </c>
      <c r="J16" s="4"/>
      <c r="K16" s="4"/>
      <c r="L16" s="4"/>
    </row>
    <row r="17" spans="1:12" x14ac:dyDescent="0.3">
      <c r="A17" s="4"/>
      <c r="B17" s="4"/>
      <c r="C17" s="4"/>
      <c r="D17" s="4"/>
      <c r="E17" s="24"/>
      <c r="F17" s="24" t="s">
        <v>84</v>
      </c>
      <c r="G17" s="48">
        <v>9836</v>
      </c>
      <c r="H17" s="49">
        <f t="shared" si="0"/>
        <v>9836</v>
      </c>
      <c r="I17" s="141">
        <f t="shared" si="1"/>
        <v>10032.719999999999</v>
      </c>
      <c r="J17" s="4"/>
      <c r="K17" s="4"/>
      <c r="L17" s="4"/>
    </row>
    <row r="18" spans="1:12" x14ac:dyDescent="0.3">
      <c r="A18" s="4"/>
      <c r="B18" s="4"/>
      <c r="C18" s="4"/>
      <c r="D18" s="4"/>
      <c r="E18" s="24"/>
      <c r="F18" s="24" t="s">
        <v>85</v>
      </c>
      <c r="G18" s="48">
        <v>32944.44</v>
      </c>
      <c r="H18" s="49">
        <f t="shared" si="0"/>
        <v>32944.44</v>
      </c>
      <c r="I18" s="141">
        <f t="shared" si="1"/>
        <v>33603.328800000003</v>
      </c>
      <c r="J18" s="4"/>
      <c r="K18" s="4"/>
      <c r="L18" s="4"/>
    </row>
    <row r="19" spans="1:12" x14ac:dyDescent="0.3">
      <c r="A19" s="4"/>
      <c r="B19" s="4"/>
      <c r="C19" s="4"/>
      <c r="D19" s="4"/>
      <c r="E19" s="24"/>
      <c r="F19" s="24" t="s">
        <v>77</v>
      </c>
      <c r="G19" s="48">
        <v>4546.51</v>
      </c>
      <c r="H19" s="49">
        <f t="shared" si="0"/>
        <v>4546.51</v>
      </c>
      <c r="I19" s="141">
        <f t="shared" si="1"/>
        <v>4637.4402</v>
      </c>
      <c r="J19" s="4"/>
      <c r="K19" s="4"/>
      <c r="L19" s="4"/>
    </row>
    <row r="20" spans="1:12" ht="15" thickBot="1" x14ac:dyDescent="0.35">
      <c r="A20" s="4"/>
      <c r="B20" s="4"/>
      <c r="C20" s="4"/>
      <c r="D20" s="4"/>
      <c r="E20" s="24"/>
      <c r="F20" s="24" t="s">
        <v>78</v>
      </c>
      <c r="G20" s="48">
        <v>3000</v>
      </c>
      <c r="H20" s="49">
        <f t="shared" si="0"/>
        <v>3000</v>
      </c>
      <c r="I20" s="141">
        <f t="shared" si="1"/>
        <v>3060</v>
      </c>
      <c r="J20" s="4"/>
      <c r="K20" s="4" t="s">
        <v>289</v>
      </c>
      <c r="L20" s="4" t="s">
        <v>288</v>
      </c>
    </row>
    <row r="21" spans="1:12" ht="15" thickBot="1" x14ac:dyDescent="0.35">
      <c r="A21" s="4"/>
      <c r="B21" s="4"/>
      <c r="C21" s="4"/>
      <c r="D21" s="4"/>
      <c r="E21" s="24" t="s">
        <v>86</v>
      </c>
      <c r="F21" s="24"/>
      <c r="G21" s="60">
        <f>ROUND(SUM(G14:G20),5)</f>
        <v>66782</v>
      </c>
      <c r="H21" s="60">
        <f>ROUND(SUM(H14:H20),5)</f>
        <v>66782</v>
      </c>
      <c r="I21" s="60">
        <f>ROUND(SUM(I14:I20),5)</f>
        <v>68117.64</v>
      </c>
      <c r="J21" s="144">
        <f>I21-H21</f>
        <v>1335.6399999999994</v>
      </c>
      <c r="K21" s="89">
        <f>I16+I18</f>
        <v>49923.328800000003</v>
      </c>
      <c r="L21" s="151">
        <f>K21/0.75</f>
        <v>66564.438399999999</v>
      </c>
    </row>
    <row r="22" spans="1:12" ht="15" thickBot="1" x14ac:dyDescent="0.35">
      <c r="A22" s="4"/>
      <c r="B22" s="4"/>
      <c r="C22" s="4"/>
      <c r="D22" s="4"/>
      <c r="E22" s="24"/>
      <c r="F22" s="24" t="s">
        <v>279</v>
      </c>
      <c r="G22" s="48"/>
      <c r="H22" s="49">
        <f>H13+H21</f>
        <v>177900.58000000002</v>
      </c>
      <c r="I22" s="89">
        <f>H22+(H22*0.02)</f>
        <v>181458.59160000001</v>
      </c>
      <c r="J22" s="144">
        <f>I22-H22</f>
        <v>3558.011599999998</v>
      </c>
      <c r="K22" s="4"/>
      <c r="L22" s="4"/>
    </row>
    <row r="23" spans="1:12" ht="15" thickBot="1" x14ac:dyDescent="0.35">
      <c r="A23" s="4"/>
      <c r="B23" s="4"/>
      <c r="C23" s="4"/>
      <c r="D23" s="4"/>
      <c r="E23" s="122"/>
      <c r="F23" s="122" t="s">
        <v>232</v>
      </c>
      <c r="G23" s="124"/>
      <c r="H23" s="125">
        <f>G22*L23</f>
        <v>0</v>
      </c>
      <c r="I23" s="91" t="s">
        <v>276</v>
      </c>
      <c r="J23" s="4" t="s">
        <v>277</v>
      </c>
      <c r="K23" s="4"/>
      <c r="L23" s="4"/>
    </row>
    <row r="24" spans="1:12" x14ac:dyDescent="0.3">
      <c r="A24" s="4"/>
      <c r="B24" s="4"/>
      <c r="C24" s="4"/>
      <c r="D24" s="4"/>
      <c r="E24" s="24"/>
      <c r="F24" s="24"/>
      <c r="G24" s="43"/>
      <c r="H24" s="44"/>
      <c r="I24" s="91"/>
      <c r="J24" s="4"/>
      <c r="K24" s="4"/>
      <c r="L24" s="4"/>
    </row>
    <row r="25" spans="1:12" x14ac:dyDescent="0.3">
      <c r="A25" s="4"/>
      <c r="B25" s="4"/>
      <c r="C25" s="4"/>
      <c r="D25" s="4"/>
      <c r="E25" s="24" t="s">
        <v>89</v>
      </c>
      <c r="F25" s="24"/>
      <c r="G25" s="43"/>
      <c r="H25" s="44"/>
      <c r="I25" s="91"/>
      <c r="J25" s="4"/>
      <c r="K25" s="4"/>
      <c r="L25" s="4"/>
    </row>
    <row r="26" spans="1:12" ht="15" thickBot="1" x14ac:dyDescent="0.35">
      <c r="A26" s="4"/>
      <c r="B26" s="4"/>
      <c r="C26" s="4"/>
      <c r="D26" s="4"/>
      <c r="E26" s="24"/>
      <c r="F26" s="24" t="s">
        <v>90</v>
      </c>
      <c r="G26" s="50">
        <v>7420</v>
      </c>
      <c r="H26" s="49">
        <f t="shared" ref="H26:H34" si="2">G26</f>
        <v>7420</v>
      </c>
      <c r="I26" s="141"/>
      <c r="J26" s="4"/>
      <c r="K26" s="4"/>
      <c r="L26" s="4"/>
    </row>
    <row r="27" spans="1:12" x14ac:dyDescent="0.3">
      <c r="A27" s="4"/>
      <c r="B27" s="4"/>
      <c r="C27" s="4"/>
      <c r="D27" s="4"/>
      <c r="E27" s="24" t="s">
        <v>91</v>
      </c>
      <c r="F27" s="24"/>
      <c r="G27" s="48">
        <f>ROUND(SUM(G25:G26),5)</f>
        <v>7420</v>
      </c>
      <c r="H27" s="49">
        <f t="shared" si="2"/>
        <v>7420</v>
      </c>
      <c r="I27" s="141">
        <f>G27+(G27*0.02)</f>
        <v>7568.4</v>
      </c>
      <c r="J27" s="19">
        <f>I27</f>
        <v>7568.4</v>
      </c>
      <c r="K27" s="4"/>
      <c r="L27" s="4"/>
    </row>
    <row r="28" spans="1:12" x14ac:dyDescent="0.3">
      <c r="A28" s="4"/>
      <c r="B28" s="4"/>
      <c r="C28" s="4"/>
      <c r="D28" s="4"/>
      <c r="E28" s="24" t="s">
        <v>92</v>
      </c>
      <c r="F28" s="24"/>
      <c r="G28" s="48"/>
      <c r="H28" s="49">
        <f t="shared" si="2"/>
        <v>0</v>
      </c>
      <c r="I28" s="4"/>
      <c r="J28" s="91"/>
      <c r="K28" s="4"/>
      <c r="L28" s="4"/>
    </row>
    <row r="29" spans="1:12" x14ac:dyDescent="0.3">
      <c r="A29" s="4"/>
      <c r="B29" s="4"/>
      <c r="C29" s="4"/>
      <c r="D29" s="4"/>
      <c r="E29" s="24"/>
      <c r="F29" s="24" t="s">
        <v>93</v>
      </c>
      <c r="G29" s="48">
        <v>4488</v>
      </c>
      <c r="H29" s="49">
        <f t="shared" si="2"/>
        <v>4488</v>
      </c>
      <c r="I29" s="141"/>
      <c r="J29" s="4">
        <v>4578</v>
      </c>
      <c r="K29" s="4"/>
      <c r="L29" s="4"/>
    </row>
    <row r="30" spans="1:12" ht="15" thickBot="1" x14ac:dyDescent="0.35">
      <c r="A30" s="4"/>
      <c r="B30" s="4"/>
      <c r="C30" s="4"/>
      <c r="D30" s="4"/>
      <c r="E30" s="24"/>
      <c r="F30" s="24" t="s">
        <v>94</v>
      </c>
      <c r="G30" s="50">
        <v>44880</v>
      </c>
      <c r="H30" s="49">
        <f t="shared" si="2"/>
        <v>44880</v>
      </c>
      <c r="I30" s="141">
        <f>G30+(G30*0.02)</f>
        <v>45777.599999999999</v>
      </c>
      <c r="J30" s="19">
        <f>I30</f>
        <v>45777.599999999999</v>
      </c>
      <c r="K30" s="4"/>
      <c r="L30" s="4"/>
    </row>
    <row r="31" spans="1:12" x14ac:dyDescent="0.3">
      <c r="A31" s="4"/>
      <c r="B31" s="4"/>
      <c r="C31" s="4"/>
      <c r="D31" s="4"/>
      <c r="E31" s="24" t="s">
        <v>95</v>
      </c>
      <c r="F31" s="24"/>
      <c r="G31" s="48">
        <f>ROUND(SUM(G28:G30),5)</f>
        <v>49368</v>
      </c>
      <c r="H31" s="49">
        <f t="shared" si="2"/>
        <v>49368</v>
      </c>
      <c r="I31" s="141"/>
      <c r="J31" s="48">
        <f>ROUND(SUM(J28:J30),5)</f>
        <v>50355.6</v>
      </c>
      <c r="K31" s="4"/>
      <c r="L31" s="4"/>
    </row>
    <row r="32" spans="1:12" x14ac:dyDescent="0.3">
      <c r="A32" s="4"/>
      <c r="B32" s="4"/>
      <c r="C32" s="4"/>
      <c r="D32" s="4"/>
      <c r="E32" s="24" t="s">
        <v>96</v>
      </c>
      <c r="F32" s="24"/>
      <c r="G32" s="48"/>
      <c r="H32" s="49">
        <f t="shared" si="2"/>
        <v>0</v>
      </c>
      <c r="I32" s="89"/>
      <c r="J32" s="4"/>
      <c r="K32" s="4"/>
      <c r="L32" s="4"/>
    </row>
    <row r="33" spans="5:15" ht="15" thickBot="1" x14ac:dyDescent="0.35">
      <c r="E33" s="24"/>
      <c r="F33" s="24" t="s">
        <v>97</v>
      </c>
      <c r="G33" s="50">
        <v>13650</v>
      </c>
      <c r="H33" s="49">
        <f t="shared" si="2"/>
        <v>13650</v>
      </c>
    </row>
    <row r="34" spans="5:15" x14ac:dyDescent="0.3">
      <c r="E34" s="24" t="s">
        <v>98</v>
      </c>
      <c r="F34" s="24"/>
      <c r="G34" s="48">
        <f>ROUND(SUM(G32:G33),5)</f>
        <v>13650</v>
      </c>
      <c r="H34" s="49">
        <f t="shared" si="2"/>
        <v>13650</v>
      </c>
      <c r="I34" s="141">
        <v>13650</v>
      </c>
      <c r="J34" s="19">
        <f>I34</f>
        <v>13650</v>
      </c>
    </row>
    <row r="35" spans="5:15" x14ac:dyDescent="0.3">
      <c r="E35" s="24" t="s">
        <v>99</v>
      </c>
      <c r="F35" s="24"/>
      <c r="G35" s="48"/>
      <c r="H35" s="44"/>
    </row>
    <row r="36" spans="5:15" x14ac:dyDescent="0.3">
      <c r="E36" s="24"/>
      <c r="F36" s="24" t="s">
        <v>100</v>
      </c>
      <c r="G36" s="43"/>
      <c r="H36" s="44"/>
    </row>
    <row r="37" spans="5:15" x14ac:dyDescent="0.3">
      <c r="E37" s="24" t="s">
        <v>101</v>
      </c>
      <c r="F37" s="24"/>
      <c r="G37" s="43"/>
      <c r="H37" s="44"/>
    </row>
    <row r="38" spans="5:15" x14ac:dyDescent="0.3">
      <c r="E38" s="24" t="s">
        <v>102</v>
      </c>
      <c r="F38" s="24"/>
      <c r="G38" s="43"/>
      <c r="H38" s="44"/>
      <c r="O38" t="s">
        <v>166</v>
      </c>
    </row>
    <row r="39" spans="5:15" x14ac:dyDescent="0.3">
      <c r="E39" s="24"/>
      <c r="F39" s="24" t="s">
        <v>103</v>
      </c>
      <c r="G39" s="48">
        <v>4800</v>
      </c>
      <c r="H39" s="49">
        <f>G39</f>
        <v>4800</v>
      </c>
      <c r="J39">
        <v>4896</v>
      </c>
    </row>
    <row r="40" spans="5:15" ht="15" thickBot="1" x14ac:dyDescent="0.35">
      <c r="E40" s="24"/>
      <c r="F40" s="24" t="s">
        <v>104</v>
      </c>
      <c r="G40" s="48">
        <v>48000</v>
      </c>
      <c r="H40" s="49">
        <f>G40</f>
        <v>48000</v>
      </c>
      <c r="I40" s="141">
        <f>G40+(G40*0.02)</f>
        <v>48960</v>
      </c>
      <c r="J40" s="19">
        <f>I40</f>
        <v>48960</v>
      </c>
    </row>
    <row r="41" spans="5:15" ht="15" thickBot="1" x14ac:dyDescent="0.35">
      <c r="E41" s="24" t="s">
        <v>105</v>
      </c>
      <c r="F41" s="24"/>
      <c r="G41" s="62">
        <f>ROUND(SUM(G35:G40),5)</f>
        <v>52800</v>
      </c>
      <c r="H41" s="49">
        <f>G41</f>
        <v>52800</v>
      </c>
      <c r="I41" s="141"/>
      <c r="J41" s="49">
        <f>J39+J40</f>
        <v>53856</v>
      </c>
    </row>
    <row r="42" spans="5:15" ht="15" thickBot="1" x14ac:dyDescent="0.35">
      <c r="E42" s="122"/>
      <c r="G42" s="48">
        <f>ROUND(G24+G27+G31+G34+G41,5)</f>
        <v>123238</v>
      </c>
      <c r="H42" s="48">
        <f>ROUND(H24+H27+H31+H34+H41,5)+H44</f>
        <v>123238</v>
      </c>
      <c r="I42" s="141">
        <f>SUM(I27:I40)</f>
        <v>115956</v>
      </c>
      <c r="J42" s="17">
        <f>J41+J34+J31+J27</f>
        <v>125430</v>
      </c>
    </row>
    <row r="43" spans="5:15" ht="15" thickBot="1" x14ac:dyDescent="0.35">
      <c r="E43" s="24"/>
      <c r="F43" s="24"/>
    </row>
    <row r="44" spans="5:15" ht="15" thickBot="1" x14ac:dyDescent="0.35">
      <c r="E44" s="24"/>
      <c r="F44" s="122" t="s">
        <v>280</v>
      </c>
      <c r="G44" s="129"/>
      <c r="H44" s="125">
        <f>G42*L43</f>
        <v>0</v>
      </c>
      <c r="J44" s="17">
        <f>J42-H42</f>
        <v>2192</v>
      </c>
    </row>
    <row r="45" spans="5:15" x14ac:dyDescent="0.3">
      <c r="E45" s="24" t="s">
        <v>109</v>
      </c>
      <c r="F45" s="24"/>
      <c r="G45" s="48">
        <v>200</v>
      </c>
      <c r="H45" s="49">
        <f>G45</f>
        <v>200</v>
      </c>
    </row>
    <row r="46" spans="5:15" x14ac:dyDescent="0.3">
      <c r="E46" s="24" t="s">
        <v>110</v>
      </c>
      <c r="F46" s="24"/>
      <c r="G46" s="48">
        <v>8717</v>
      </c>
      <c r="H46" s="49">
        <f>G46</f>
        <v>8717</v>
      </c>
      <c r="I46" s="16">
        <f>0.0765*I42</f>
        <v>8870.634</v>
      </c>
    </row>
    <row r="47" spans="5:15" x14ac:dyDescent="0.3">
      <c r="E47" s="24" t="s">
        <v>111</v>
      </c>
      <c r="F47" s="24"/>
      <c r="G47" s="48">
        <v>18500</v>
      </c>
      <c r="H47" s="49">
        <f>G47</f>
        <v>18500</v>
      </c>
    </row>
    <row r="48" spans="5:15" ht="15" thickBot="1" x14ac:dyDescent="0.35">
      <c r="E48" s="24" t="s">
        <v>112</v>
      </c>
      <c r="F48" s="24"/>
      <c r="G48" s="50">
        <v>2300</v>
      </c>
      <c r="H48" s="49">
        <f>G48</f>
        <v>2300</v>
      </c>
    </row>
    <row r="49" spans="5:8" x14ac:dyDescent="0.3">
      <c r="E49" s="24"/>
      <c r="F49" s="24"/>
      <c r="G49" s="48">
        <f>ROUND(SUM(G44:G48),5)</f>
        <v>29717</v>
      </c>
      <c r="H49" s="48">
        <f>ROUND(SUM(H44:H48),5)</f>
        <v>29717</v>
      </c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7" sqref="F17"/>
    </sheetView>
  </sheetViews>
  <sheetFormatPr defaultRowHeight="14.4" x14ac:dyDescent="0.3"/>
  <cols>
    <col min="1" max="1" width="19" customWidth="1"/>
    <col min="7" max="8" width="26.33203125" customWidth="1"/>
  </cols>
  <sheetData>
    <row r="1" spans="1:8" ht="18" x14ac:dyDescent="0.35">
      <c r="A1" s="170" t="s">
        <v>240</v>
      </c>
      <c r="B1" s="113"/>
      <c r="C1" s="113"/>
      <c r="D1" s="113"/>
      <c r="E1" s="113"/>
      <c r="F1" s="113"/>
      <c r="G1" s="268" t="s">
        <v>241</v>
      </c>
      <c r="H1" s="171" t="s">
        <v>244</v>
      </c>
    </row>
    <row r="2" spans="1:8" x14ac:dyDescent="0.3">
      <c r="A2" s="172" t="s">
        <v>242</v>
      </c>
      <c r="B2" s="74" t="s">
        <v>243</v>
      </c>
      <c r="C2" s="74"/>
      <c r="D2" s="74"/>
      <c r="E2" s="74"/>
      <c r="F2" s="74"/>
      <c r="G2" s="74"/>
      <c r="H2" s="22" t="s">
        <v>386</v>
      </c>
    </row>
    <row r="3" spans="1:8" x14ac:dyDescent="0.3">
      <c r="A3" s="172" t="s">
        <v>249</v>
      </c>
      <c r="B3" s="74" t="s">
        <v>282</v>
      </c>
      <c r="C3" s="74"/>
      <c r="D3" s="74"/>
      <c r="E3" s="74"/>
      <c r="F3" s="74"/>
      <c r="G3" s="74">
        <f>'Raise Calcs'!J22</f>
        <v>3558.011599999998</v>
      </c>
      <c r="H3" s="22" t="s">
        <v>301</v>
      </c>
    </row>
    <row r="4" spans="1:8" x14ac:dyDescent="0.3">
      <c r="A4" s="172" t="s">
        <v>166</v>
      </c>
      <c r="B4" s="74" t="s">
        <v>248</v>
      </c>
      <c r="C4" s="74"/>
      <c r="D4" s="74"/>
      <c r="E4" s="74"/>
      <c r="F4" s="74"/>
      <c r="G4" s="74">
        <f>2192</f>
        <v>2192</v>
      </c>
      <c r="H4" s="22" t="s">
        <v>247</v>
      </c>
    </row>
    <row r="5" spans="1:8" x14ac:dyDescent="0.3">
      <c r="A5" s="172" t="s">
        <v>250</v>
      </c>
      <c r="B5" s="74" t="s">
        <v>269</v>
      </c>
      <c r="C5" s="74"/>
      <c r="D5" s="74"/>
      <c r="E5" s="74"/>
      <c r="F5" s="74"/>
      <c r="G5" s="74">
        <v>10000</v>
      </c>
      <c r="H5" s="22" t="s">
        <v>251</v>
      </c>
    </row>
    <row r="6" spans="1:8" x14ac:dyDescent="0.3">
      <c r="A6" s="172" t="s">
        <v>342</v>
      </c>
      <c r="B6" s="74" t="s">
        <v>343</v>
      </c>
      <c r="C6" s="74"/>
      <c r="D6" s="74"/>
      <c r="E6" s="74"/>
      <c r="F6" s="74"/>
      <c r="G6" s="116"/>
      <c r="H6" s="22" t="s">
        <v>386</v>
      </c>
    </row>
    <row r="7" spans="1:8" x14ac:dyDescent="0.3">
      <c r="A7" s="172" t="s">
        <v>417</v>
      </c>
      <c r="B7" s="74"/>
      <c r="C7" s="74"/>
      <c r="D7" s="74"/>
      <c r="E7" s="74"/>
      <c r="F7" s="74"/>
      <c r="G7" s="74">
        <v>5000</v>
      </c>
      <c r="H7" s="22"/>
    </row>
    <row r="8" spans="1:8" x14ac:dyDescent="0.3">
      <c r="A8" s="172" t="s">
        <v>418</v>
      </c>
      <c r="B8" s="74"/>
      <c r="C8" s="74"/>
      <c r="D8" s="74"/>
      <c r="E8" s="74"/>
      <c r="F8" s="74"/>
      <c r="G8" s="74">
        <v>15000</v>
      </c>
      <c r="H8" s="22"/>
    </row>
    <row r="9" spans="1:8" x14ac:dyDescent="0.3">
      <c r="A9" s="172"/>
      <c r="B9" s="74"/>
      <c r="C9" s="74"/>
      <c r="D9" s="74"/>
      <c r="E9" s="74"/>
      <c r="F9" s="74"/>
      <c r="G9" s="74"/>
      <c r="H9" s="22"/>
    </row>
    <row r="10" spans="1:8" x14ac:dyDescent="0.3">
      <c r="A10" s="172"/>
      <c r="B10" s="74"/>
      <c r="C10" s="74"/>
      <c r="D10" s="74"/>
      <c r="E10" s="74"/>
      <c r="F10" s="74"/>
      <c r="G10" s="74">
        <f>SUM(G2:G6)</f>
        <v>15750.011599999998</v>
      </c>
      <c r="H10" s="22"/>
    </row>
    <row r="11" spans="1:8" x14ac:dyDescent="0.3">
      <c r="A11" s="172" t="s">
        <v>268</v>
      </c>
      <c r="B11" s="74"/>
      <c r="C11" s="74"/>
      <c r="D11" s="74"/>
      <c r="E11" s="74"/>
      <c r="F11" s="74"/>
      <c r="G11" s="74" t="s">
        <v>166</v>
      </c>
      <c r="H11" s="22" t="s">
        <v>304</v>
      </c>
    </row>
    <row r="12" spans="1:8" x14ac:dyDescent="0.3">
      <c r="A12" s="172"/>
      <c r="B12" s="74"/>
      <c r="C12" s="74"/>
      <c r="D12" s="74"/>
      <c r="E12" s="74"/>
      <c r="F12" s="74"/>
      <c r="G12" s="74"/>
      <c r="H12" s="22"/>
    </row>
    <row r="13" spans="1:8" x14ac:dyDescent="0.3">
      <c r="A13" s="200" t="s">
        <v>337</v>
      </c>
      <c r="B13" s="74"/>
      <c r="C13" s="74"/>
      <c r="D13" s="74"/>
      <c r="E13" s="74"/>
      <c r="F13" s="74"/>
      <c r="G13" s="74"/>
      <c r="H13" s="22"/>
    </row>
    <row r="14" spans="1:8" x14ac:dyDescent="0.3">
      <c r="A14" s="172" t="s">
        <v>338</v>
      </c>
      <c r="B14" s="74"/>
      <c r="C14" s="74"/>
      <c r="D14" s="74"/>
      <c r="E14" s="74"/>
      <c r="F14" s="74"/>
      <c r="G14" s="74"/>
      <c r="H14" s="22"/>
    </row>
    <row r="15" spans="1:8" x14ac:dyDescent="0.3">
      <c r="A15" s="172" t="s">
        <v>339</v>
      </c>
      <c r="B15" s="74"/>
      <c r="C15" s="74"/>
      <c r="D15" s="74"/>
      <c r="E15" s="74"/>
      <c r="F15" s="74"/>
      <c r="G15" s="74"/>
      <c r="H15" s="22"/>
    </row>
    <row r="16" spans="1:8" x14ac:dyDescent="0.3">
      <c r="A16" s="172" t="s">
        <v>340</v>
      </c>
      <c r="B16" s="74"/>
      <c r="C16" s="74"/>
      <c r="D16" s="74"/>
      <c r="E16" s="74"/>
      <c r="F16" s="74"/>
      <c r="G16" s="74"/>
      <c r="H16" s="22"/>
    </row>
    <row r="17" spans="1:8" x14ac:dyDescent="0.3">
      <c r="A17" s="172" t="s">
        <v>341</v>
      </c>
      <c r="B17" s="74"/>
      <c r="C17" s="74"/>
      <c r="D17" s="74"/>
      <c r="E17" s="74"/>
      <c r="F17" s="74"/>
      <c r="G17" s="74"/>
      <c r="H17" s="22"/>
    </row>
    <row r="18" spans="1:8" x14ac:dyDescent="0.3">
      <c r="A18" s="172"/>
      <c r="B18" s="74"/>
      <c r="C18" s="74"/>
      <c r="D18" s="74"/>
      <c r="E18" s="74"/>
      <c r="F18" s="74"/>
      <c r="G18" s="74"/>
      <c r="H18" s="22"/>
    </row>
    <row r="19" spans="1:8" ht="15" thickBot="1" x14ac:dyDescent="0.35">
      <c r="A19" s="169"/>
      <c r="B19" s="5"/>
      <c r="C19" s="5"/>
      <c r="D19" s="5"/>
      <c r="E19" s="5"/>
      <c r="F19" s="250"/>
      <c r="G19" s="5"/>
      <c r="H19" s="16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35"/>
  <sheetViews>
    <sheetView zoomScale="115" zoomScaleNormal="115" workbookViewId="0">
      <pane ySplit="1" topLeftCell="A23" activePane="bottomLeft" state="frozen"/>
      <selection activeCell="F17" sqref="F17"/>
      <selection pane="bottomLeft" activeCell="F17" sqref="F17"/>
    </sheetView>
  </sheetViews>
  <sheetFormatPr defaultRowHeight="14.4" x14ac:dyDescent="0.3"/>
  <cols>
    <col min="1" max="1" width="1.33203125" customWidth="1"/>
    <col min="2" max="2" width="0.33203125" customWidth="1"/>
    <col min="3" max="3" width="0.88671875" customWidth="1"/>
    <col min="4" max="4" width="0.5546875" customWidth="1"/>
    <col min="5" max="5" width="1.33203125" customWidth="1"/>
    <col min="6" max="6" width="18.5546875" customWidth="1"/>
    <col min="7" max="7" width="9" customWidth="1"/>
    <col min="8" max="8" width="10.44140625" customWidth="1"/>
    <col min="9" max="9" width="11.6640625" style="2" customWidth="1"/>
    <col min="10" max="10" width="11.6640625" customWidth="1"/>
    <col min="11" max="11" width="10.109375" style="1" customWidth="1"/>
    <col min="12" max="12" width="11.33203125" style="1" customWidth="1"/>
    <col min="13" max="13" width="15" style="21" customWidth="1"/>
    <col min="14" max="14" width="10.33203125" style="41" customWidth="1"/>
    <col min="15" max="15" width="13.109375" customWidth="1"/>
    <col min="16" max="16" width="0.109375" customWidth="1"/>
    <col min="17" max="17" width="2.44140625" hidden="1" customWidth="1"/>
    <col min="18" max="18" width="3" hidden="1" customWidth="1"/>
    <col min="19" max="19" width="1.6640625" hidden="1" customWidth="1"/>
    <col min="20" max="20" width="2.109375" hidden="1" customWidth="1"/>
    <col min="21" max="21" width="24.6640625" customWidth="1"/>
    <col min="22" max="22" width="9.109375" customWidth="1"/>
    <col min="23" max="23" width="11.6640625" customWidth="1"/>
    <col min="24" max="24" width="11.88671875" customWidth="1"/>
    <col min="25" max="25" width="9.109375" customWidth="1"/>
    <col min="26" max="26" width="11" customWidth="1"/>
    <col min="27" max="29" width="9.109375" customWidth="1"/>
  </cols>
  <sheetData>
    <row r="1" spans="1:44" s="285" customFormat="1" ht="13.8" hidden="1" x14ac:dyDescent="0.3">
      <c r="A1" s="283" t="s">
        <v>158</v>
      </c>
      <c r="B1" s="284"/>
      <c r="C1" s="284"/>
      <c r="D1" s="284"/>
      <c r="E1" s="284"/>
      <c r="F1" s="284"/>
      <c r="G1" s="286" t="s">
        <v>159</v>
      </c>
      <c r="H1" s="286" t="s">
        <v>160</v>
      </c>
      <c r="I1" s="286" t="s">
        <v>170</v>
      </c>
      <c r="J1" s="286" t="s">
        <v>161</v>
      </c>
      <c r="K1" s="286" t="s">
        <v>162</v>
      </c>
      <c r="L1" s="286" t="s">
        <v>198</v>
      </c>
      <c r="M1" s="286"/>
      <c r="N1" s="286" t="s">
        <v>193</v>
      </c>
      <c r="O1" s="284"/>
    </row>
    <row r="2" spans="1:44" s="285" customFormat="1" ht="13.8" x14ac:dyDescent="0.3">
      <c r="A2" s="283"/>
      <c r="B2" s="284"/>
      <c r="C2" s="284"/>
      <c r="D2" s="284"/>
      <c r="E2" s="284"/>
      <c r="F2" s="284"/>
      <c r="G2" s="286"/>
      <c r="H2" s="286"/>
      <c r="I2" s="286"/>
      <c r="J2" s="286"/>
      <c r="K2" s="286"/>
      <c r="L2" s="286"/>
      <c r="M2" s="286"/>
      <c r="N2" s="286"/>
      <c r="O2" s="284"/>
    </row>
    <row r="3" spans="1:44" ht="14.25" customHeight="1" x14ac:dyDescent="0.3">
      <c r="A3" s="278"/>
      <c r="B3" s="278"/>
      <c r="C3" s="278"/>
      <c r="D3" s="278"/>
      <c r="E3" s="278"/>
      <c r="F3" s="279" t="s">
        <v>329</v>
      </c>
      <c r="G3" s="280" t="s">
        <v>330</v>
      </c>
      <c r="H3" s="1"/>
      <c r="I3" s="4"/>
      <c r="J3" s="1"/>
      <c r="L3" s="134"/>
      <c r="M3" s="135"/>
      <c r="N3" s="136"/>
      <c r="O3" s="137"/>
    </row>
    <row r="4" spans="1:44" ht="14.25" customHeight="1" x14ac:dyDescent="0.3">
      <c r="A4" s="278"/>
      <c r="B4" s="278"/>
      <c r="C4" s="278"/>
      <c r="D4" s="278"/>
      <c r="E4" s="278"/>
      <c r="F4" s="281" t="s">
        <v>310</v>
      </c>
      <c r="G4" s="282"/>
      <c r="H4" s="1"/>
      <c r="I4" s="4"/>
      <c r="J4" s="1"/>
      <c r="L4" s="134"/>
      <c r="M4" s="135"/>
      <c r="N4" s="136"/>
      <c r="O4" s="137"/>
    </row>
    <row r="5" spans="1:44" ht="14.25" customHeight="1" x14ac:dyDescent="0.3">
      <c r="A5" s="24"/>
      <c r="B5" s="24"/>
      <c r="C5" s="24"/>
      <c r="D5" s="24"/>
      <c r="E5" s="24"/>
      <c r="F5" s="162" t="s">
        <v>311</v>
      </c>
      <c r="G5" s="147"/>
      <c r="L5" s="134"/>
      <c r="M5" s="135"/>
      <c r="N5" s="136"/>
      <c r="O5" s="137"/>
    </row>
    <row r="6" spans="1:44" ht="14.25" customHeight="1" x14ac:dyDescent="0.3">
      <c r="A6" s="24"/>
      <c r="B6" s="24"/>
      <c r="C6" s="24"/>
      <c r="D6" s="24"/>
      <c r="E6" s="24"/>
      <c r="F6" s="162" t="s">
        <v>314</v>
      </c>
      <c r="G6" s="147"/>
      <c r="L6" s="134"/>
      <c r="M6" s="135"/>
      <c r="N6" s="136"/>
      <c r="O6" s="137"/>
    </row>
    <row r="7" spans="1:44" ht="14.25" customHeight="1" x14ac:dyDescent="0.3">
      <c r="A7" s="24"/>
      <c r="B7" s="24"/>
      <c r="C7" s="24"/>
      <c r="D7" s="24"/>
      <c r="E7" s="24"/>
      <c r="F7" s="162" t="s">
        <v>312</v>
      </c>
      <c r="G7" s="147"/>
      <c r="L7" s="134"/>
      <c r="M7" s="135"/>
      <c r="N7" s="136"/>
      <c r="O7" s="137"/>
      <c r="U7" t="s">
        <v>353</v>
      </c>
    </row>
    <row r="8" spans="1:44" ht="14.25" customHeight="1" thickBot="1" x14ac:dyDescent="0.35">
      <c r="A8" s="24"/>
      <c r="B8" s="24"/>
      <c r="C8" s="24"/>
      <c r="D8" s="24"/>
      <c r="E8" s="24"/>
      <c r="F8" s="20"/>
      <c r="G8" s="147"/>
      <c r="L8" s="134"/>
      <c r="M8" s="135"/>
      <c r="N8" s="136"/>
      <c r="O8" s="137"/>
    </row>
    <row r="9" spans="1:44" ht="15" thickBot="1" x14ac:dyDescent="0.35">
      <c r="A9" t="s">
        <v>331</v>
      </c>
      <c r="B9" s="4"/>
      <c r="C9" s="4"/>
      <c r="D9" s="4"/>
      <c r="E9" s="4"/>
      <c r="F9" s="87"/>
      <c r="G9" s="4"/>
      <c r="H9" s="89"/>
      <c r="I9" s="89"/>
      <c r="J9" s="4"/>
      <c r="K9" s="89"/>
      <c r="L9" s="90"/>
      <c r="M9" s="4"/>
      <c r="N9" s="136"/>
      <c r="O9" s="137"/>
      <c r="P9" s="161" t="s">
        <v>313</v>
      </c>
      <c r="Q9" s="6"/>
      <c r="R9" s="6"/>
      <c r="S9" s="6"/>
      <c r="T9" s="6"/>
      <c r="U9" s="246"/>
      <c r="V9" s="6"/>
      <c r="W9" s="6"/>
      <c r="X9" s="6"/>
      <c r="Y9" s="6"/>
      <c r="Z9" s="6"/>
      <c r="AA9" s="6"/>
      <c r="AB9" s="6"/>
      <c r="AC9" s="7"/>
    </row>
    <row r="10" spans="1:44" x14ac:dyDescent="0.3">
      <c r="A10" s="2"/>
      <c r="B10" s="2"/>
      <c r="C10" s="2"/>
      <c r="D10" s="2"/>
      <c r="E10" s="2"/>
      <c r="F10" s="101"/>
      <c r="G10" s="102" t="s">
        <v>291</v>
      </c>
      <c r="H10" s="103" t="s">
        <v>216</v>
      </c>
      <c r="I10" s="102" t="s">
        <v>212</v>
      </c>
      <c r="J10" s="103" t="s">
        <v>213</v>
      </c>
      <c r="K10" s="244" t="s">
        <v>214</v>
      </c>
      <c r="L10" s="103" t="s">
        <v>215</v>
      </c>
      <c r="M10" s="104"/>
      <c r="N10" s="136"/>
      <c r="O10" s="137"/>
      <c r="P10" s="8"/>
      <c r="Q10" s="9" t="s">
        <v>290</v>
      </c>
      <c r="R10" s="9"/>
      <c r="S10" s="9"/>
      <c r="T10" s="9"/>
      <c r="U10" s="247"/>
      <c r="V10" s="10" t="s">
        <v>183</v>
      </c>
      <c r="W10" s="11" t="s">
        <v>184</v>
      </c>
      <c r="X10" s="11" t="s">
        <v>182</v>
      </c>
      <c r="Y10" s="9"/>
      <c r="Z10" s="10" t="s">
        <v>185</v>
      </c>
      <c r="AA10" s="10" t="s">
        <v>186</v>
      </c>
      <c r="AB10" s="10" t="s">
        <v>187</v>
      </c>
      <c r="AC10" s="12" t="s">
        <v>203</v>
      </c>
    </row>
    <row r="11" spans="1:44" ht="60.6" x14ac:dyDescent="0.3">
      <c r="A11" s="88"/>
      <c r="B11" s="4"/>
      <c r="C11" s="4"/>
      <c r="D11" s="4"/>
      <c r="E11" s="4"/>
      <c r="F11" s="120" t="s">
        <v>227</v>
      </c>
      <c r="G11" s="72">
        <f>V12</f>
        <v>140</v>
      </c>
      <c r="H11" s="72">
        <f>W12</f>
        <v>325106</v>
      </c>
      <c r="I11" s="72">
        <f>X12</f>
        <v>323546</v>
      </c>
      <c r="J11" s="92">
        <f>Z12</f>
        <v>337204</v>
      </c>
      <c r="K11" s="194">
        <v>0.99</v>
      </c>
      <c r="L11" s="92">
        <f>H11*K11</f>
        <v>321854.94</v>
      </c>
      <c r="M11" s="119" t="s">
        <v>308</v>
      </c>
      <c r="N11" s="136"/>
      <c r="O11" s="137"/>
      <c r="P11" s="8"/>
      <c r="Q11" s="9"/>
      <c r="R11" s="9"/>
      <c r="S11" s="9"/>
      <c r="T11" s="9"/>
      <c r="U11" s="248" t="s">
        <v>179</v>
      </c>
      <c r="V11" s="188" t="s">
        <v>326</v>
      </c>
      <c r="W11" s="189" t="s">
        <v>327</v>
      </c>
      <c r="X11" s="190" t="s">
        <v>328</v>
      </c>
      <c r="Y11" s="190" t="s">
        <v>332</v>
      </c>
      <c r="Z11" s="9"/>
      <c r="AA11" s="9"/>
      <c r="AB11" s="9"/>
      <c r="AC11" s="12"/>
      <c r="AR11" s="1"/>
    </row>
    <row r="12" spans="1:44" x14ac:dyDescent="0.3">
      <c r="A12" s="88"/>
      <c r="B12" s="4"/>
      <c r="C12" s="4"/>
      <c r="D12" s="4"/>
      <c r="E12" s="4"/>
      <c r="F12" s="105" t="s">
        <v>354</v>
      </c>
      <c r="G12" s="72">
        <f>V13</f>
        <v>15</v>
      </c>
      <c r="H12" s="72">
        <f>W13</f>
        <v>20880</v>
      </c>
      <c r="I12" s="72"/>
      <c r="J12" s="72"/>
      <c r="K12" s="93">
        <v>0.8</v>
      </c>
      <c r="L12" s="72">
        <f>H12*K12</f>
        <v>16704</v>
      </c>
      <c r="M12" s="106"/>
      <c r="N12" s="136"/>
      <c r="O12" s="137"/>
      <c r="P12" s="8"/>
      <c r="Q12" s="9"/>
      <c r="R12" s="9"/>
      <c r="S12" s="9"/>
      <c r="T12" s="9"/>
      <c r="U12" s="248" t="s">
        <v>180</v>
      </c>
      <c r="V12" s="256">
        <v>140</v>
      </c>
      <c r="W12" s="145">
        <v>325106</v>
      </c>
      <c r="X12" s="13">
        <v>323546</v>
      </c>
      <c r="Y12" s="193"/>
      <c r="Z12" s="13">
        <v>337204</v>
      </c>
      <c r="AA12" s="13">
        <f>W12/V12</f>
        <v>2322.1857142857143</v>
      </c>
      <c r="AB12" s="13">
        <f>X12/V12</f>
        <v>2311.042857142857</v>
      </c>
      <c r="AC12" s="12"/>
    </row>
    <row r="13" spans="1:44" x14ac:dyDescent="0.3">
      <c r="A13" s="88"/>
      <c r="B13" s="4"/>
      <c r="C13" s="4"/>
      <c r="D13" s="4"/>
      <c r="E13" s="4"/>
      <c r="F13" s="105" t="s">
        <v>230</v>
      </c>
      <c r="G13" s="72">
        <f>V17</f>
        <v>66</v>
      </c>
      <c r="H13" s="72"/>
      <c r="I13" s="72">
        <v>47100</v>
      </c>
      <c r="J13" s="72">
        <v>54236</v>
      </c>
      <c r="K13" s="93">
        <v>0.9</v>
      </c>
      <c r="L13" s="92">
        <f>I13*K13</f>
        <v>42390</v>
      </c>
      <c r="M13" s="192"/>
      <c r="N13" s="191"/>
      <c r="O13" s="137"/>
      <c r="P13" s="8"/>
      <c r="Q13" s="9"/>
      <c r="R13" s="9"/>
      <c r="S13" s="9"/>
      <c r="T13" s="9"/>
      <c r="U13" s="248" t="s">
        <v>188</v>
      </c>
      <c r="V13" s="257">
        <v>15</v>
      </c>
      <c r="W13" s="258">
        <v>20880</v>
      </c>
      <c r="X13" s="14"/>
      <c r="Y13" s="14"/>
      <c r="Z13" s="14">
        <v>5020</v>
      </c>
      <c r="AA13" s="13">
        <f>W13/V13</f>
        <v>1392</v>
      </c>
      <c r="AB13" s="13"/>
      <c r="AC13" s="15"/>
    </row>
    <row r="14" spans="1:44" x14ac:dyDescent="0.3">
      <c r="A14" s="88"/>
      <c r="B14" s="4"/>
      <c r="C14" s="4"/>
      <c r="D14" s="4"/>
      <c r="E14" s="4"/>
      <c r="F14" s="107" t="s">
        <v>228</v>
      </c>
      <c r="G14" s="95">
        <f>G23</f>
        <v>24</v>
      </c>
      <c r="H14" s="92">
        <f>K23</f>
        <v>16093.999999999996</v>
      </c>
      <c r="I14" s="72"/>
      <c r="J14" s="72"/>
      <c r="K14" s="93">
        <v>0.8</v>
      </c>
      <c r="L14" s="92">
        <f>K14*H14</f>
        <v>12875.199999999997</v>
      </c>
      <c r="M14" s="108"/>
      <c r="N14" s="191"/>
      <c r="O14" s="137"/>
      <c r="P14" s="8"/>
      <c r="Q14" s="9"/>
      <c r="R14" s="9"/>
      <c r="S14" s="9"/>
      <c r="T14" s="9"/>
      <c r="U14" s="248" t="s">
        <v>181</v>
      </c>
      <c r="V14" s="256">
        <f>V12+V13</f>
        <v>155</v>
      </c>
      <c r="W14" s="145">
        <f>SUM(W12:W13)</f>
        <v>345986</v>
      </c>
      <c r="X14" s="259">
        <f>SUM(X12:X13)</f>
        <v>323546</v>
      </c>
      <c r="Y14" s="13"/>
      <c r="Z14" s="259">
        <f>SUM(Z12:Z13)</f>
        <v>342224</v>
      </c>
      <c r="AA14" s="13"/>
      <c r="AB14" s="13"/>
      <c r="AC14" s="15"/>
    </row>
    <row r="15" spans="1:44" x14ac:dyDescent="0.3">
      <c r="A15" s="88"/>
      <c r="B15" s="4"/>
      <c r="C15" s="4"/>
      <c r="D15" s="4"/>
      <c r="E15" s="4"/>
      <c r="F15" s="109" t="s">
        <v>229</v>
      </c>
      <c r="G15" s="96"/>
      <c r="H15" s="94" t="s">
        <v>166</v>
      </c>
      <c r="I15" s="82"/>
      <c r="J15" s="82"/>
      <c r="K15" s="82"/>
      <c r="L15" s="92">
        <f>SUM(L11:L14)</f>
        <v>393824.14</v>
      </c>
      <c r="M15" s="108"/>
      <c r="N15" s="136"/>
      <c r="O15" s="137"/>
      <c r="P15" s="8"/>
      <c r="Q15" s="9"/>
      <c r="R15" s="9"/>
      <c r="S15" s="9"/>
      <c r="T15" s="9"/>
      <c r="U15" s="248"/>
      <c r="V15" s="146"/>
      <c r="W15" s="251"/>
      <c r="X15" s="251"/>
      <c r="Y15" s="13"/>
      <c r="Z15" s="251"/>
      <c r="AA15" s="13"/>
      <c r="AB15" s="13"/>
      <c r="AC15" s="15"/>
    </row>
    <row r="16" spans="1:44" x14ac:dyDescent="0.3">
      <c r="A16" s="88"/>
      <c r="B16" s="4"/>
      <c r="C16" s="4"/>
      <c r="D16" s="4"/>
      <c r="E16" s="4"/>
      <c r="F16" s="81"/>
      <c r="G16" s="82"/>
      <c r="H16" s="82"/>
      <c r="I16" s="82"/>
      <c r="J16" s="82"/>
      <c r="K16" s="82"/>
      <c r="L16" s="82"/>
      <c r="M16" s="108"/>
      <c r="N16" s="136"/>
      <c r="O16" s="137"/>
      <c r="P16" s="8"/>
      <c r="Q16" s="9"/>
      <c r="R16" s="9"/>
      <c r="S16" s="146" t="s">
        <v>205</v>
      </c>
      <c r="T16" s="146"/>
      <c r="U16" s="248" t="s">
        <v>325</v>
      </c>
      <c r="V16" s="146"/>
      <c r="W16" s="252"/>
      <c r="X16" s="13"/>
      <c r="Y16" s="13"/>
      <c r="Z16" s="13"/>
      <c r="AA16" s="13"/>
      <c r="AB16" s="13"/>
      <c r="AC16" s="15"/>
    </row>
    <row r="17" spans="1:29" x14ac:dyDescent="0.3">
      <c r="A17" s="88"/>
      <c r="B17" s="4"/>
      <c r="C17" s="4"/>
      <c r="D17" s="4"/>
      <c r="E17" s="4"/>
      <c r="F17" s="105" t="s">
        <v>292</v>
      </c>
      <c r="G17" s="96"/>
      <c r="H17" s="82"/>
      <c r="I17" s="82"/>
      <c r="J17" s="82"/>
      <c r="K17" s="82"/>
      <c r="L17" s="82"/>
      <c r="M17" s="108"/>
      <c r="N17" s="136"/>
      <c r="O17" s="137"/>
      <c r="P17" s="8"/>
      <c r="Q17" s="9"/>
      <c r="R17" s="9"/>
      <c r="S17" s="9"/>
      <c r="T17" s="9"/>
      <c r="U17" s="248" t="s">
        <v>236</v>
      </c>
      <c r="V17" s="253">
        <v>66</v>
      </c>
      <c r="W17" s="13">
        <v>47100</v>
      </c>
      <c r="X17" s="13">
        <v>45281</v>
      </c>
      <c r="Y17" s="13">
        <v>6343</v>
      </c>
      <c r="Z17" s="13">
        <v>54236</v>
      </c>
      <c r="AA17" s="13" t="s">
        <v>211</v>
      </c>
      <c r="AB17" s="13"/>
      <c r="AC17" s="15"/>
    </row>
    <row r="18" spans="1:29" x14ac:dyDescent="0.3">
      <c r="A18" s="88"/>
      <c r="B18" s="4"/>
      <c r="C18" s="4"/>
      <c r="D18" s="4"/>
      <c r="E18" s="4"/>
      <c r="F18" s="105"/>
      <c r="G18" s="97" t="s">
        <v>225</v>
      </c>
      <c r="H18" s="97" t="s">
        <v>221</v>
      </c>
      <c r="I18" s="72" t="s">
        <v>222</v>
      </c>
      <c r="J18" s="97" t="s">
        <v>218</v>
      </c>
      <c r="K18" s="72" t="s">
        <v>220</v>
      </c>
      <c r="L18" s="72" t="s">
        <v>219</v>
      </c>
      <c r="M18" s="110" t="s">
        <v>215</v>
      </c>
      <c r="N18" s="136"/>
      <c r="O18" s="137"/>
      <c r="P18" s="8"/>
      <c r="Q18" s="9"/>
      <c r="R18" s="9"/>
      <c r="S18" s="9"/>
      <c r="T18" s="9"/>
      <c r="U18" s="248" t="s">
        <v>206</v>
      </c>
      <c r="V18" s="253">
        <v>12</v>
      </c>
      <c r="W18" s="13"/>
      <c r="X18" s="13">
        <v>15088</v>
      </c>
      <c r="Y18" s="13"/>
      <c r="Z18" s="13">
        <v>8589</v>
      </c>
      <c r="AA18" s="13"/>
      <c r="AB18" s="13"/>
      <c r="AC18" s="15"/>
    </row>
    <row r="19" spans="1:29" x14ac:dyDescent="0.3">
      <c r="A19" s="88"/>
      <c r="B19" s="4"/>
      <c r="C19" s="4"/>
      <c r="D19" s="4"/>
      <c r="E19" s="4"/>
      <c r="F19" s="109" t="s">
        <v>217</v>
      </c>
      <c r="G19" s="82">
        <v>6</v>
      </c>
      <c r="H19" s="18">
        <f>(AA13+AA24)/2</f>
        <v>1149.5714285714284</v>
      </c>
      <c r="I19" s="98">
        <f>H19/12</f>
        <v>95.797619047619037</v>
      </c>
      <c r="J19" s="82">
        <v>12</v>
      </c>
      <c r="K19" s="94">
        <f>G19*I19*J19</f>
        <v>6897.4285714285706</v>
      </c>
      <c r="L19" s="82"/>
      <c r="M19" s="83"/>
      <c r="N19" s="136"/>
      <c r="O19" s="137"/>
      <c r="P19" s="8"/>
      <c r="Q19" s="9"/>
      <c r="R19" s="9"/>
      <c r="S19" s="9"/>
      <c r="T19" s="9"/>
      <c r="U19" s="248" t="s">
        <v>207</v>
      </c>
      <c r="V19" s="253">
        <v>24</v>
      </c>
      <c r="W19" s="13"/>
      <c r="X19" s="13">
        <v>21652</v>
      </c>
      <c r="Y19" s="13"/>
      <c r="Z19" s="13">
        <v>20</v>
      </c>
      <c r="AA19" s="13"/>
      <c r="AB19" s="13"/>
      <c r="AC19" s="15"/>
    </row>
    <row r="20" spans="1:29" x14ac:dyDescent="0.3">
      <c r="A20" s="88"/>
      <c r="B20" s="4"/>
      <c r="C20" s="4"/>
      <c r="D20" s="4"/>
      <c r="E20" s="4"/>
      <c r="F20" s="109" t="s">
        <v>223</v>
      </c>
      <c r="G20" s="82">
        <f>G19</f>
        <v>6</v>
      </c>
      <c r="H20" s="94">
        <f>H19</f>
        <v>1149.5714285714284</v>
      </c>
      <c r="I20" s="98">
        <f>I19</f>
        <v>95.797619047619037</v>
      </c>
      <c r="J20" s="82">
        <v>9</v>
      </c>
      <c r="K20" s="94">
        <f>G20*I20*J20</f>
        <v>5173.0714285714275</v>
      </c>
      <c r="L20" s="82"/>
      <c r="M20" s="83"/>
      <c r="N20" s="136"/>
      <c r="O20" s="137"/>
      <c r="P20" s="8"/>
      <c r="Q20" s="9"/>
      <c r="R20" s="9"/>
      <c r="S20" s="9"/>
      <c r="T20" s="9"/>
      <c r="U20" s="248" t="s">
        <v>208</v>
      </c>
      <c r="V20" s="254">
        <v>47</v>
      </c>
      <c r="W20" s="13"/>
      <c r="X20" s="13"/>
      <c r="Y20" s="13"/>
      <c r="Z20" s="13">
        <v>4735</v>
      </c>
      <c r="AA20" s="13"/>
      <c r="AB20" s="13"/>
      <c r="AC20" s="15"/>
    </row>
    <row r="21" spans="1:29" x14ac:dyDescent="0.3">
      <c r="A21" s="4"/>
      <c r="B21" s="4"/>
      <c r="C21" s="4"/>
      <c r="D21" s="4"/>
      <c r="E21" s="4"/>
      <c r="F21" s="109" t="s">
        <v>224</v>
      </c>
      <c r="G21" s="82">
        <f>G19</f>
        <v>6</v>
      </c>
      <c r="H21" s="94">
        <f>H20</f>
        <v>1149.5714285714284</v>
      </c>
      <c r="I21" s="98">
        <f>I20</f>
        <v>95.797619047619037</v>
      </c>
      <c r="J21" s="82">
        <v>5</v>
      </c>
      <c r="K21" s="94">
        <f>G21*I21*J21</f>
        <v>2873.9285714285711</v>
      </c>
      <c r="L21" s="82"/>
      <c r="M21" s="106"/>
      <c r="N21" s="136"/>
      <c r="O21" s="137"/>
      <c r="P21" s="8"/>
      <c r="Q21" s="9"/>
      <c r="R21" s="9"/>
      <c r="S21" s="9"/>
      <c r="T21" s="9"/>
      <c r="U21" s="249" t="s">
        <v>210</v>
      </c>
      <c r="V21" s="255">
        <f>SUM(V17:V20)</f>
        <v>149</v>
      </c>
      <c r="W21" s="14">
        <f>SUM(W17:W20)</f>
        <v>47100</v>
      </c>
      <c r="X21" s="14">
        <f>SUM(X17:X20)</f>
        <v>82021</v>
      </c>
      <c r="Y21" s="14"/>
      <c r="Z21" s="14">
        <f>SUM(Z17:Z20)</f>
        <v>67580</v>
      </c>
      <c r="AA21" s="13"/>
      <c r="AB21" s="13"/>
      <c r="AC21" s="15"/>
    </row>
    <row r="22" spans="1:29" x14ac:dyDescent="0.3">
      <c r="A22" s="2"/>
      <c r="B22" s="2"/>
      <c r="C22" s="2"/>
      <c r="D22" s="2"/>
      <c r="E22" s="2"/>
      <c r="F22" s="109" t="s">
        <v>217</v>
      </c>
      <c r="G22" s="99">
        <f>G19</f>
        <v>6</v>
      </c>
      <c r="H22" s="94">
        <f>H19</f>
        <v>1149.5714285714284</v>
      </c>
      <c r="I22" s="98">
        <f>I21</f>
        <v>95.797619047619037</v>
      </c>
      <c r="J22" s="82">
        <v>2</v>
      </c>
      <c r="K22" s="100">
        <f>G22*I22*J22</f>
        <v>1149.5714285714284</v>
      </c>
      <c r="L22" s="82"/>
      <c r="M22" s="83"/>
      <c r="N22" s="191"/>
      <c r="O22" s="137"/>
      <c r="P22" s="8"/>
      <c r="Q22" s="9"/>
      <c r="R22" s="9"/>
      <c r="S22" s="9"/>
      <c r="T22" s="9"/>
      <c r="U22" s="248" t="s">
        <v>209</v>
      </c>
      <c r="V22" s="253">
        <f>V14+V21</f>
        <v>304</v>
      </c>
      <c r="W22" s="13">
        <f>W14+W21</f>
        <v>393086</v>
      </c>
      <c r="X22" s="13">
        <f>X14+X21</f>
        <v>405567</v>
      </c>
      <c r="Y22" s="13"/>
      <c r="Z22" s="13">
        <f>Z14+Z21</f>
        <v>409804</v>
      </c>
      <c r="AA22" s="146"/>
      <c r="AB22" s="9"/>
      <c r="AC22" s="12"/>
    </row>
    <row r="23" spans="1:29" ht="15" thickBot="1" x14ac:dyDescent="0.35">
      <c r="A23" s="2"/>
      <c r="B23" s="2"/>
      <c r="C23" s="2"/>
      <c r="D23" s="2"/>
      <c r="E23" s="2"/>
      <c r="F23" s="270" t="s">
        <v>352</v>
      </c>
      <c r="G23" s="84">
        <f>SUM(G19:G22)</f>
        <v>24</v>
      </c>
      <c r="H23" s="84"/>
      <c r="I23" s="84"/>
      <c r="J23" s="84"/>
      <c r="K23" s="245">
        <f>SUM(K19:K22)</f>
        <v>16093.999999999996</v>
      </c>
      <c r="L23" s="287">
        <v>0.8</v>
      </c>
      <c r="M23" s="111">
        <f>K23*L23</f>
        <v>12875.199999999997</v>
      </c>
      <c r="N23" s="191"/>
      <c r="O23" s="137"/>
      <c r="P23" s="88"/>
      <c r="Q23" s="4"/>
      <c r="R23" s="4"/>
      <c r="S23" s="4"/>
      <c r="T23" s="4"/>
      <c r="U23" s="248"/>
      <c r="V23" s="9"/>
      <c r="W23" s="260"/>
      <c r="X23" s="9"/>
      <c r="Y23" s="9"/>
      <c r="Z23" s="9"/>
      <c r="AA23" s="9"/>
      <c r="AB23" s="9"/>
      <c r="AC23" s="12"/>
    </row>
    <row r="24" spans="1:29" x14ac:dyDescent="0.3">
      <c r="A24" s="2"/>
      <c r="B24" s="2"/>
      <c r="C24" s="2"/>
      <c r="D24" s="2"/>
      <c r="E24" s="2"/>
      <c r="F24" s="153"/>
      <c r="G24" s="4"/>
      <c r="H24" s="4"/>
      <c r="I24" s="4"/>
      <c r="J24" s="4"/>
      <c r="K24" s="19"/>
      <c r="L24" s="4"/>
      <c r="M24" s="89"/>
      <c r="N24" s="136"/>
      <c r="O24" s="137"/>
      <c r="P24" s="88"/>
      <c r="Q24" s="4"/>
      <c r="R24" s="4"/>
      <c r="S24" s="4"/>
      <c r="T24" s="4"/>
      <c r="U24" s="248" t="s">
        <v>226</v>
      </c>
      <c r="V24" s="261">
        <v>14</v>
      </c>
      <c r="W24" s="9"/>
      <c r="X24" s="9">
        <v>12700</v>
      </c>
      <c r="Y24" s="9"/>
      <c r="Z24" s="262"/>
      <c r="AA24" s="262">
        <f>X24/V24</f>
        <v>907.14285714285711</v>
      </c>
      <c r="AB24" s="9"/>
      <c r="AC24" s="12"/>
    </row>
    <row r="25" spans="1:29" ht="18" x14ac:dyDescent="0.35">
      <c r="B25" s="2"/>
      <c r="C25" s="2"/>
      <c r="D25" s="2"/>
      <c r="E25" s="2"/>
      <c r="F25" s="152" t="s">
        <v>293</v>
      </c>
      <c r="G25" s="4"/>
      <c r="H25" s="4"/>
      <c r="I25" s="4"/>
      <c r="J25" s="4"/>
      <c r="K25" s="19"/>
      <c r="L25" s="4"/>
      <c r="M25" s="89"/>
      <c r="N25" s="191"/>
      <c r="O25" s="137"/>
      <c r="P25" s="88"/>
      <c r="Q25" s="4"/>
      <c r="R25" s="4"/>
      <c r="S25" s="4"/>
      <c r="T25" s="4"/>
      <c r="U25" s="248"/>
      <c r="V25" s="261"/>
      <c r="W25" s="9"/>
      <c r="X25" s="9"/>
      <c r="Y25" s="9"/>
      <c r="Z25" s="262"/>
      <c r="AA25" s="262"/>
      <c r="AB25" s="9"/>
      <c r="AC25" s="12"/>
    </row>
    <row r="26" spans="1:29" ht="15" thickBot="1" x14ac:dyDescent="0.35">
      <c r="A26" s="2"/>
      <c r="B26" s="2"/>
      <c r="C26" s="2"/>
      <c r="D26" s="2"/>
      <c r="E26" s="2"/>
      <c r="F26" s="153"/>
      <c r="G26" s="4"/>
      <c r="H26" s="4"/>
      <c r="I26" s="4"/>
      <c r="J26" s="4"/>
      <c r="K26" s="19"/>
      <c r="L26" s="4"/>
      <c r="M26" s="89"/>
      <c r="N26" s="136"/>
      <c r="O26" s="137"/>
      <c r="P26" s="88"/>
      <c r="Q26" s="4"/>
      <c r="R26" s="4"/>
      <c r="S26" s="4"/>
      <c r="T26" s="4"/>
      <c r="U26" s="248" t="s">
        <v>237</v>
      </c>
      <c r="V26" s="261"/>
      <c r="W26" s="9"/>
      <c r="X26" s="9">
        <f>X22</f>
        <v>405567</v>
      </c>
      <c r="Y26" s="9"/>
      <c r="Z26" s="262"/>
      <c r="AA26" s="262"/>
      <c r="AB26" s="9"/>
      <c r="AC26" s="12"/>
    </row>
    <row r="27" spans="1:29" ht="16.2" thickBot="1" x14ac:dyDescent="0.35">
      <c r="A27" s="2"/>
      <c r="B27" s="2"/>
      <c r="C27" s="2"/>
      <c r="D27" s="2"/>
      <c r="E27" s="2"/>
      <c r="F27" s="167" t="s">
        <v>294</v>
      </c>
      <c r="G27" s="3"/>
      <c r="H27" s="3"/>
      <c r="I27" s="196"/>
      <c r="J27" s="197"/>
      <c r="K27" s="197"/>
      <c r="L27" s="237" t="s">
        <v>241</v>
      </c>
      <c r="M27" s="272"/>
      <c r="N27" s="238" t="s">
        <v>193</v>
      </c>
      <c r="O27" s="273"/>
      <c r="P27" s="4"/>
      <c r="Q27" s="4"/>
      <c r="R27" s="4"/>
      <c r="S27" s="4"/>
      <c r="T27" s="4"/>
      <c r="U27" s="248" t="s">
        <v>238</v>
      </c>
      <c r="V27" s="261"/>
      <c r="W27" s="9"/>
      <c r="X27" s="9"/>
      <c r="Y27" s="9"/>
      <c r="Z27" s="262">
        <v>387310</v>
      </c>
      <c r="AA27" s="262"/>
      <c r="AB27" s="9"/>
      <c r="AC27" s="12"/>
    </row>
    <row r="28" spans="1:29" ht="15" thickBot="1" x14ac:dyDescent="0.35">
      <c r="A28" s="2"/>
      <c r="B28" s="2"/>
      <c r="C28" s="2"/>
      <c r="D28" s="2"/>
      <c r="E28" s="2"/>
      <c r="F28" s="168" t="s">
        <v>295</v>
      </c>
      <c r="G28" s="4" t="s">
        <v>166</v>
      </c>
      <c r="H28" s="4"/>
      <c r="I28" s="4"/>
      <c r="J28" s="1"/>
      <c r="K28" s="154" t="s">
        <v>296</v>
      </c>
      <c r="L28" s="274">
        <f>L88</f>
        <v>546199.6</v>
      </c>
      <c r="M28" s="269" t="s">
        <v>336</v>
      </c>
      <c r="N28" s="274">
        <f>N88</f>
        <v>549547.1692</v>
      </c>
      <c r="O28" s="164" t="s">
        <v>351</v>
      </c>
      <c r="P28" s="4"/>
      <c r="Q28" s="4"/>
      <c r="R28" s="4"/>
      <c r="S28" s="4"/>
      <c r="T28" s="4"/>
      <c r="U28" s="263" t="s">
        <v>239</v>
      </c>
      <c r="V28" s="264"/>
      <c r="W28" s="265"/>
      <c r="X28" s="265"/>
      <c r="Y28" s="265"/>
      <c r="Z28" s="266">
        <v>22475</v>
      </c>
      <c r="AA28" s="266"/>
      <c r="AB28" s="265"/>
      <c r="AC28" s="267"/>
    </row>
    <row r="29" spans="1:29" x14ac:dyDescent="0.3">
      <c r="A29" s="2"/>
      <c r="B29" s="2"/>
      <c r="C29" s="2"/>
      <c r="D29" s="2"/>
      <c r="E29" s="2"/>
      <c r="F29" s="168"/>
      <c r="G29" s="4"/>
      <c r="H29" s="4"/>
      <c r="I29" s="4"/>
      <c r="J29" s="1"/>
      <c r="K29" s="154" t="s">
        <v>297</v>
      </c>
      <c r="L29" s="275">
        <f>L89</f>
        <v>565007.67999999993</v>
      </c>
      <c r="M29" s="269" t="s">
        <v>299</v>
      </c>
      <c r="N29" s="275">
        <f>N89</f>
        <v>565007.67999999993</v>
      </c>
      <c r="O29" s="164" t="s">
        <v>300</v>
      </c>
    </row>
    <row r="30" spans="1:29" ht="15" thickBot="1" x14ac:dyDescent="0.35">
      <c r="A30" s="2"/>
      <c r="B30" s="2"/>
      <c r="C30" s="2"/>
      <c r="D30" s="2"/>
      <c r="E30" s="2"/>
      <c r="F30" s="169"/>
      <c r="G30" s="5"/>
      <c r="H30" s="5"/>
      <c r="I30" s="5"/>
      <c r="J30" s="198"/>
      <c r="K30" s="199" t="s">
        <v>298</v>
      </c>
      <c r="L30" s="276">
        <f>L28-L29</f>
        <v>-18808.079999999958</v>
      </c>
      <c r="M30" s="277"/>
      <c r="N30" s="199">
        <f>N28-N29</f>
        <v>-15460.510799999931</v>
      </c>
      <c r="O30" s="166"/>
    </row>
    <row r="31" spans="1:29" ht="23.25" customHeight="1" thickBot="1" x14ac:dyDescent="0.4">
      <c r="A31" s="2"/>
      <c r="B31" s="2"/>
      <c r="C31" s="2"/>
      <c r="D31" s="2"/>
      <c r="E31" s="2"/>
      <c r="F31" s="155"/>
      <c r="G31" s="4"/>
      <c r="H31" s="4"/>
      <c r="I31" s="4"/>
      <c r="J31" s="4"/>
      <c r="K31" s="19"/>
      <c r="L31" s="4"/>
      <c r="M31" s="89"/>
      <c r="N31" s="136"/>
      <c r="O31" s="137"/>
    </row>
    <row r="32" spans="1:29" ht="18" x14ac:dyDescent="0.35">
      <c r="A32" s="2"/>
      <c r="B32" s="2"/>
      <c r="C32" s="2"/>
      <c r="D32" s="2"/>
      <c r="E32" s="2"/>
      <c r="F32" s="170" t="s">
        <v>240</v>
      </c>
      <c r="G32" s="113"/>
      <c r="H32" s="113"/>
      <c r="I32" s="113"/>
      <c r="J32" s="113"/>
      <c r="K32" s="113"/>
      <c r="L32" s="268" t="s">
        <v>241</v>
      </c>
      <c r="M32" s="171" t="s">
        <v>244</v>
      </c>
      <c r="N32" s="268" t="s">
        <v>193</v>
      </c>
      <c r="O32" s="163"/>
    </row>
    <row r="33" spans="1:15" x14ac:dyDescent="0.3">
      <c r="A33" s="2"/>
      <c r="B33" s="2"/>
      <c r="C33" s="2"/>
      <c r="D33" s="2"/>
      <c r="E33" s="2"/>
      <c r="F33" s="172" t="s">
        <v>242</v>
      </c>
      <c r="G33" s="74" t="s">
        <v>243</v>
      </c>
      <c r="H33" s="74"/>
      <c r="I33" s="74"/>
      <c r="J33" s="74"/>
      <c r="K33" s="74"/>
      <c r="L33" s="65">
        <v>5000</v>
      </c>
      <c r="M33" s="22" t="s">
        <v>245</v>
      </c>
      <c r="N33" s="74">
        <v>5000</v>
      </c>
      <c r="O33" s="173" t="s">
        <v>303</v>
      </c>
    </row>
    <row r="34" spans="1:15" ht="24.6" x14ac:dyDescent="0.3">
      <c r="A34" s="2"/>
      <c r="B34" s="2"/>
      <c r="C34" s="2"/>
      <c r="D34" s="2"/>
      <c r="E34" s="2"/>
      <c r="F34" s="172" t="s">
        <v>249</v>
      </c>
      <c r="G34" s="74" t="s">
        <v>282</v>
      </c>
      <c r="H34" s="74"/>
      <c r="I34" s="74"/>
      <c r="J34" s="74"/>
      <c r="K34" s="74"/>
      <c r="L34" s="74"/>
      <c r="M34" s="22" t="s">
        <v>301</v>
      </c>
      <c r="N34" s="74">
        <f>L34</f>
        <v>0</v>
      </c>
      <c r="O34" s="201" t="s">
        <v>344</v>
      </c>
    </row>
    <row r="35" spans="1:15" x14ac:dyDescent="0.3">
      <c r="A35" s="2"/>
      <c r="B35" s="2"/>
      <c r="C35" s="2"/>
      <c r="D35" s="2"/>
      <c r="E35" s="2"/>
      <c r="F35" s="172" t="s">
        <v>166</v>
      </c>
      <c r="G35" s="74" t="s">
        <v>248</v>
      </c>
      <c r="H35" s="74"/>
      <c r="I35" s="74"/>
      <c r="J35" s="74"/>
      <c r="K35" s="74"/>
      <c r="L35" s="65">
        <f>2192</f>
        <v>2192</v>
      </c>
      <c r="M35" s="22" t="s">
        <v>247</v>
      </c>
      <c r="N35" s="74">
        <f>L35</f>
        <v>2192</v>
      </c>
      <c r="O35" s="164" t="s">
        <v>344</v>
      </c>
    </row>
    <row r="36" spans="1:15" ht="24.6" x14ac:dyDescent="0.3">
      <c r="A36" s="2"/>
      <c r="B36" s="2"/>
      <c r="C36" s="2"/>
      <c r="D36" s="2"/>
      <c r="E36" s="2"/>
      <c r="F36" s="172" t="s">
        <v>166</v>
      </c>
      <c r="G36" s="74" t="s">
        <v>281</v>
      </c>
      <c r="H36" s="74"/>
      <c r="I36" s="74"/>
      <c r="J36" s="74"/>
      <c r="K36" s="74"/>
      <c r="L36" s="74"/>
      <c r="M36" s="22" t="s">
        <v>246</v>
      </c>
      <c r="N36" s="74">
        <f>L36</f>
        <v>0</v>
      </c>
      <c r="O36" s="201" t="s">
        <v>344</v>
      </c>
    </row>
    <row r="37" spans="1:15" x14ac:dyDescent="0.3">
      <c r="A37" s="2"/>
      <c r="B37" s="2"/>
      <c r="C37" s="2"/>
      <c r="D37" s="2"/>
      <c r="E37" s="2"/>
      <c r="F37" s="172" t="s">
        <v>250</v>
      </c>
      <c r="G37" s="74" t="s">
        <v>269</v>
      </c>
      <c r="H37" s="74"/>
      <c r="I37" s="74"/>
      <c r="J37" s="74"/>
      <c r="K37" s="74"/>
      <c r="L37" s="74">
        <v>10000</v>
      </c>
      <c r="M37" s="22" t="s">
        <v>251</v>
      </c>
      <c r="N37" s="74">
        <v>10000</v>
      </c>
      <c r="O37" s="164" t="s">
        <v>302</v>
      </c>
    </row>
    <row r="38" spans="1:15" ht="24.6" x14ac:dyDescent="0.3">
      <c r="A38" s="2"/>
      <c r="B38" s="2"/>
      <c r="C38" s="2"/>
      <c r="D38" s="2"/>
      <c r="E38" s="2"/>
      <c r="F38" s="172" t="s">
        <v>342</v>
      </c>
      <c r="G38" s="74" t="s">
        <v>343</v>
      </c>
      <c r="H38" s="74"/>
      <c r="I38" s="74"/>
      <c r="J38" s="74"/>
      <c r="K38" s="74"/>
      <c r="L38" s="116"/>
      <c r="M38" s="22" t="s">
        <v>246</v>
      </c>
      <c r="N38" s="116">
        <v>5000</v>
      </c>
      <c r="O38" s="164" t="s">
        <v>302</v>
      </c>
    </row>
    <row r="39" spans="1:15" x14ac:dyDescent="0.3">
      <c r="A39" s="2"/>
      <c r="B39" s="2"/>
      <c r="C39" s="2"/>
      <c r="D39" s="2"/>
      <c r="E39" s="2"/>
      <c r="F39" s="172"/>
      <c r="G39" s="74"/>
      <c r="H39" s="74"/>
      <c r="I39" s="74"/>
      <c r="J39" s="74"/>
      <c r="K39" s="74"/>
      <c r="L39" s="271">
        <f>SUM(L33:L38)</f>
        <v>17192</v>
      </c>
      <c r="M39" s="22"/>
      <c r="N39" s="74">
        <f>SUM(N33:N38)</f>
        <v>22192</v>
      </c>
      <c r="O39" s="164"/>
    </row>
    <row r="40" spans="1:15" x14ac:dyDescent="0.3">
      <c r="A40" s="2"/>
      <c r="B40" s="2"/>
      <c r="C40" s="2"/>
      <c r="D40" s="2"/>
      <c r="E40" s="2"/>
      <c r="F40" s="172" t="s">
        <v>268</v>
      </c>
      <c r="G40" s="74"/>
      <c r="H40" s="74"/>
      <c r="I40" s="74"/>
      <c r="J40" s="74"/>
      <c r="K40" s="74"/>
      <c r="L40" s="74" t="s">
        <v>166</v>
      </c>
      <c r="M40" s="22" t="s">
        <v>304</v>
      </c>
      <c r="N40" s="74" t="s">
        <v>166</v>
      </c>
      <c r="O40" s="164"/>
    </row>
    <row r="41" spans="1:15" x14ac:dyDescent="0.3">
      <c r="A41" s="2"/>
      <c r="B41" s="2"/>
      <c r="C41" s="2"/>
      <c r="D41" s="2"/>
      <c r="E41" s="2"/>
      <c r="F41" s="172"/>
      <c r="G41" s="74"/>
      <c r="H41" s="74"/>
      <c r="I41" s="74"/>
      <c r="J41" s="74"/>
      <c r="K41" s="74"/>
      <c r="L41" s="74"/>
      <c r="M41" s="22"/>
      <c r="N41" s="74"/>
      <c r="O41" s="164"/>
    </row>
    <row r="42" spans="1:15" x14ac:dyDescent="0.3">
      <c r="A42" s="2"/>
      <c r="B42" s="2"/>
      <c r="C42" s="2"/>
      <c r="D42" s="2"/>
      <c r="E42" s="2"/>
      <c r="F42" s="200" t="s">
        <v>337</v>
      </c>
      <c r="G42" s="74"/>
      <c r="H42" s="74"/>
      <c r="I42" s="74"/>
      <c r="J42" s="74"/>
      <c r="K42" s="74"/>
      <c r="L42" s="74"/>
      <c r="M42" s="22"/>
      <c r="N42" s="74"/>
      <c r="O42" s="164"/>
    </row>
    <row r="43" spans="1:15" x14ac:dyDescent="0.3">
      <c r="A43" s="2"/>
      <c r="B43" s="2"/>
      <c r="C43" s="2"/>
      <c r="D43" s="2"/>
      <c r="E43" s="2"/>
      <c r="F43" s="172" t="s">
        <v>338</v>
      </c>
      <c r="G43" s="74"/>
      <c r="H43" s="74"/>
      <c r="I43" s="74"/>
      <c r="J43" s="74"/>
      <c r="K43" s="74"/>
      <c r="L43" s="74"/>
      <c r="M43" s="22"/>
      <c r="N43" s="74"/>
      <c r="O43" s="164"/>
    </row>
    <row r="44" spans="1:15" x14ac:dyDescent="0.3">
      <c r="A44" s="2"/>
      <c r="B44" s="2"/>
      <c r="C44" s="2"/>
      <c r="D44" s="2"/>
      <c r="E44" s="2"/>
      <c r="F44" s="172" t="s">
        <v>339</v>
      </c>
      <c r="G44" s="74"/>
      <c r="H44" s="74"/>
      <c r="I44" s="74"/>
      <c r="J44" s="74"/>
      <c r="K44" s="74"/>
      <c r="L44" s="74"/>
      <c r="M44" s="22"/>
      <c r="N44" s="74"/>
      <c r="O44" s="164"/>
    </row>
    <row r="45" spans="1:15" x14ac:dyDescent="0.3">
      <c r="A45" s="2"/>
      <c r="B45" s="2"/>
      <c r="C45" s="2"/>
      <c r="D45" s="2"/>
      <c r="E45" s="2"/>
      <c r="F45" s="172" t="s">
        <v>340</v>
      </c>
      <c r="G45" s="74"/>
      <c r="H45" s="74"/>
      <c r="I45" s="74"/>
      <c r="J45" s="74"/>
      <c r="K45" s="74"/>
      <c r="L45" s="74"/>
      <c r="M45" s="22"/>
      <c r="N45" s="74"/>
      <c r="O45" s="164"/>
    </row>
    <row r="46" spans="1:15" x14ac:dyDescent="0.3">
      <c r="A46" s="2"/>
      <c r="B46" s="2"/>
      <c r="C46" s="2"/>
      <c r="D46" s="2"/>
      <c r="E46" s="2"/>
      <c r="F46" s="172" t="s">
        <v>341</v>
      </c>
      <c r="G46" s="74"/>
      <c r="H46" s="74"/>
      <c r="I46" s="74"/>
      <c r="J46" s="74"/>
      <c r="K46" s="74"/>
      <c r="L46" s="74"/>
      <c r="M46" s="22"/>
      <c r="N46" s="74"/>
      <c r="O46" s="164"/>
    </row>
    <row r="47" spans="1:15" x14ac:dyDescent="0.3">
      <c r="A47" s="2"/>
      <c r="B47" s="2"/>
      <c r="C47" s="2"/>
      <c r="D47" s="2"/>
      <c r="E47" s="2"/>
      <c r="F47" s="172"/>
      <c r="G47" s="74"/>
      <c r="H47" s="74"/>
      <c r="I47" s="74"/>
      <c r="J47" s="74"/>
      <c r="K47" s="74"/>
      <c r="L47" s="74"/>
      <c r="M47" s="22"/>
      <c r="N47" s="74"/>
      <c r="O47" s="164"/>
    </row>
    <row r="48" spans="1:15" ht="15" thickBot="1" x14ac:dyDescent="0.35">
      <c r="A48" s="2"/>
      <c r="B48" s="2"/>
      <c r="C48" s="2"/>
      <c r="D48" s="2"/>
      <c r="E48" s="2"/>
      <c r="F48" s="169"/>
      <c r="G48" s="5"/>
      <c r="H48" s="5"/>
      <c r="I48" s="5"/>
      <c r="J48" s="5"/>
      <c r="K48" s="250"/>
      <c r="L48" s="5"/>
      <c r="M48" s="165"/>
      <c r="N48" s="174"/>
      <c r="O48" s="166"/>
    </row>
    <row r="49" spans="1:15" x14ac:dyDescent="0.3">
      <c r="A49" s="2"/>
      <c r="B49" s="2"/>
      <c r="C49" s="2"/>
      <c r="D49" s="2"/>
      <c r="E49" s="2"/>
      <c r="F49" s="153"/>
      <c r="G49" s="4"/>
      <c r="H49" s="4"/>
      <c r="I49" s="4"/>
      <c r="J49" s="4"/>
      <c r="K49" s="19"/>
      <c r="L49" s="4"/>
      <c r="M49" s="89"/>
      <c r="N49" s="136"/>
      <c r="O49" s="137"/>
    </row>
    <row r="50" spans="1:15" ht="18" x14ac:dyDescent="0.35">
      <c r="A50" s="2"/>
      <c r="B50" s="2"/>
      <c r="C50" s="2"/>
      <c r="D50" s="2"/>
      <c r="E50" s="2"/>
      <c r="F50" s="155" t="s">
        <v>309</v>
      </c>
      <c r="G50" s="4"/>
      <c r="H50" s="4"/>
      <c r="I50" s="4"/>
      <c r="J50" s="4"/>
      <c r="K50" s="19"/>
      <c r="L50" s="4"/>
      <c r="M50" s="89"/>
      <c r="N50" s="136"/>
      <c r="O50" s="137"/>
    </row>
    <row r="51" spans="1:15" x14ac:dyDescent="0.3">
      <c r="A51" s="2"/>
      <c r="B51" s="2"/>
      <c r="C51" s="2"/>
      <c r="D51" s="2"/>
      <c r="E51" s="2"/>
      <c r="F51" s="153"/>
      <c r="G51" s="4"/>
      <c r="H51" s="4"/>
      <c r="I51" s="4"/>
      <c r="J51" s="4"/>
      <c r="K51" s="19"/>
      <c r="L51" s="4"/>
      <c r="M51" s="89"/>
      <c r="N51" s="136"/>
      <c r="O51" s="137"/>
    </row>
    <row r="52" spans="1:15" ht="28.2" x14ac:dyDescent="0.35">
      <c r="F52" s="158" t="s">
        <v>204</v>
      </c>
      <c r="M52" s="175" t="s">
        <v>306</v>
      </c>
      <c r="N52" s="176">
        <v>0.02</v>
      </c>
      <c r="O52" s="137"/>
    </row>
    <row r="53" spans="1:15" ht="25.2" thickBot="1" x14ac:dyDescent="0.35">
      <c r="A53" s="25"/>
      <c r="B53" s="25"/>
      <c r="C53" s="25"/>
      <c r="D53" s="25"/>
      <c r="E53" s="25"/>
      <c r="G53" s="131" t="s">
        <v>159</v>
      </c>
      <c r="H53" s="131" t="s">
        <v>160</v>
      </c>
      <c r="I53" s="132" t="s">
        <v>286</v>
      </c>
      <c r="J53" s="133" t="s">
        <v>305</v>
      </c>
      <c r="K53" s="159" t="s">
        <v>345</v>
      </c>
      <c r="L53" s="204" t="s">
        <v>241</v>
      </c>
      <c r="N53" s="150" t="s">
        <v>193</v>
      </c>
    </row>
    <row r="54" spans="1:15" ht="15" thickTop="1" x14ac:dyDescent="0.3">
      <c r="A54" s="24"/>
      <c r="B54" s="24" t="s">
        <v>0</v>
      </c>
      <c r="C54" s="24" t="s">
        <v>1</v>
      </c>
      <c r="D54" s="24"/>
      <c r="E54" s="24"/>
      <c r="F54" s="24"/>
      <c r="G54" s="42"/>
      <c r="H54" s="42"/>
      <c r="I54" s="112"/>
      <c r="J54" s="43"/>
      <c r="K54" s="160"/>
      <c r="L54" s="205" t="s">
        <v>166</v>
      </c>
      <c r="M54" s="23" t="s">
        <v>199</v>
      </c>
      <c r="N54" s="41" t="s">
        <v>197</v>
      </c>
    </row>
    <row r="55" spans="1:15" x14ac:dyDescent="0.3">
      <c r="A55" s="24"/>
      <c r="B55" s="24"/>
      <c r="C55" s="24"/>
      <c r="D55" s="24" t="s">
        <v>2</v>
      </c>
      <c r="E55" s="24"/>
      <c r="F55" s="24"/>
      <c r="G55" s="42"/>
      <c r="H55" s="42"/>
      <c r="I55" s="112"/>
      <c r="J55" s="43"/>
      <c r="K55" s="160"/>
      <c r="L55" s="206"/>
      <c r="M55" s="23" t="s">
        <v>166</v>
      </c>
    </row>
    <row r="56" spans="1:15" x14ac:dyDescent="0.3">
      <c r="A56" s="24"/>
      <c r="B56" s="24"/>
      <c r="C56" s="24"/>
      <c r="D56" s="24"/>
      <c r="E56" s="24" t="s">
        <v>3</v>
      </c>
      <c r="F56" s="24"/>
      <c r="G56" s="45">
        <v>8896.84</v>
      </c>
      <c r="H56" s="45">
        <v>12000</v>
      </c>
      <c r="I56" s="115">
        <v>3960</v>
      </c>
      <c r="J56" s="43">
        <v>7162</v>
      </c>
      <c r="K56" s="160">
        <v>9938</v>
      </c>
      <c r="L56" s="206">
        <v>10000</v>
      </c>
      <c r="M56" s="20" t="s">
        <v>195</v>
      </c>
      <c r="N56" s="75">
        <f>L56+(L56*N$52)</f>
        <v>10200</v>
      </c>
    </row>
    <row r="57" spans="1:15" x14ac:dyDescent="0.3">
      <c r="A57" s="24"/>
      <c r="B57" s="24"/>
      <c r="C57" s="24"/>
      <c r="D57" s="24"/>
      <c r="E57" s="24" t="s">
        <v>4</v>
      </c>
      <c r="F57" s="24"/>
      <c r="G57" s="45">
        <v>38190.959999999999</v>
      </c>
      <c r="H57" s="45">
        <v>25000</v>
      </c>
      <c r="I57" s="112">
        <v>11940</v>
      </c>
      <c r="J57" s="43">
        <v>14911</v>
      </c>
      <c r="K57" s="160">
        <v>32596</v>
      </c>
      <c r="L57" s="207">
        <f>J57+(J57*N$52)</f>
        <v>15209.22</v>
      </c>
      <c r="M57" t="s">
        <v>200</v>
      </c>
      <c r="N57" s="75">
        <f>L57+(L57*N$52)</f>
        <v>15513.404399999999</v>
      </c>
      <c r="O57" s="41" t="s">
        <v>202</v>
      </c>
    </row>
    <row r="58" spans="1:15" ht="15" thickBot="1" x14ac:dyDescent="0.35">
      <c r="A58" s="24"/>
      <c r="B58" s="24"/>
      <c r="C58" s="24"/>
      <c r="D58" s="24"/>
      <c r="E58" s="24" t="s">
        <v>163</v>
      </c>
      <c r="F58" s="24"/>
      <c r="G58" s="45">
        <v>17569.39</v>
      </c>
      <c r="H58" s="45">
        <v>22000</v>
      </c>
      <c r="I58" s="112">
        <v>10807</v>
      </c>
      <c r="J58" s="43">
        <v>18350</v>
      </c>
      <c r="K58" s="160">
        <v>20000</v>
      </c>
      <c r="L58" s="207">
        <f>J58+(J58*N$52)</f>
        <v>18717</v>
      </c>
      <c r="M58" t="s">
        <v>201</v>
      </c>
      <c r="N58" s="75">
        <f>L58+(L58*N$52)</f>
        <v>19091.34</v>
      </c>
      <c r="O58" s="41" t="s">
        <v>202</v>
      </c>
    </row>
    <row r="59" spans="1:15" ht="15" thickBot="1" x14ac:dyDescent="0.35">
      <c r="A59" s="24"/>
      <c r="B59" s="24"/>
      <c r="C59" s="24"/>
      <c r="D59" s="24"/>
      <c r="E59" s="24" t="s">
        <v>168</v>
      </c>
      <c r="F59" s="24"/>
      <c r="G59" s="45"/>
      <c r="H59" s="45"/>
      <c r="I59" s="112">
        <v>4225</v>
      </c>
      <c r="J59" s="43">
        <v>4225</v>
      </c>
      <c r="K59" s="160">
        <v>11328</v>
      </c>
      <c r="L59" s="206"/>
      <c r="M59" s="85" t="s">
        <v>333</v>
      </c>
      <c r="O59" s="41"/>
    </row>
    <row r="60" spans="1:15" ht="25.2" thickBot="1" x14ac:dyDescent="0.35">
      <c r="A60" s="24"/>
      <c r="B60" s="24"/>
      <c r="C60" s="24"/>
      <c r="D60" s="24"/>
      <c r="E60" s="24" t="s">
        <v>5</v>
      </c>
      <c r="F60" s="24"/>
      <c r="G60" s="46">
        <v>360428.08</v>
      </c>
      <c r="H60" s="46">
        <v>376278</v>
      </c>
      <c r="I60" s="116">
        <v>236914</v>
      </c>
      <c r="J60" s="47">
        <v>406263</v>
      </c>
      <c r="K60" s="47">
        <v>407993</v>
      </c>
      <c r="L60" s="208">
        <f>L15</f>
        <v>393824.14</v>
      </c>
      <c r="M60" s="21" t="s">
        <v>334</v>
      </c>
      <c r="N60" s="86">
        <f>L60</f>
        <v>393824.14</v>
      </c>
      <c r="O60" s="195" t="s">
        <v>335</v>
      </c>
    </row>
    <row r="61" spans="1:15" x14ac:dyDescent="0.3">
      <c r="A61" s="24"/>
      <c r="B61" s="24"/>
      <c r="C61" s="24"/>
      <c r="D61" s="24" t="s">
        <v>6</v>
      </c>
      <c r="E61" s="24"/>
      <c r="F61" s="24"/>
      <c r="G61" s="45">
        <v>425085.27</v>
      </c>
      <c r="H61" s="45">
        <v>435278</v>
      </c>
      <c r="I61" s="112">
        <f>SUM(I56:I60)</f>
        <v>267846</v>
      </c>
      <c r="J61" s="43">
        <f>SUM(J56:J60)</f>
        <v>450911</v>
      </c>
      <c r="K61" s="160">
        <f>SUM(K56:K60)</f>
        <v>481855</v>
      </c>
      <c r="L61" s="209">
        <f>SUM(L56:L60)</f>
        <v>437750.36</v>
      </c>
      <c r="M61" s="23"/>
      <c r="N61" s="43">
        <f>SUM(N56:N60)</f>
        <v>438628.88439999998</v>
      </c>
    </row>
    <row r="62" spans="1:15" x14ac:dyDescent="0.3">
      <c r="A62" s="24"/>
      <c r="B62" s="24"/>
      <c r="C62" s="24"/>
      <c r="D62" s="24" t="s">
        <v>7</v>
      </c>
      <c r="E62" s="24"/>
      <c r="F62" s="24"/>
      <c r="G62" s="45"/>
      <c r="H62" s="45"/>
      <c r="I62" s="112"/>
      <c r="J62" s="43"/>
      <c r="K62" s="160"/>
      <c r="L62" s="206"/>
      <c r="M62" s="23"/>
    </row>
    <row r="63" spans="1:15" x14ac:dyDescent="0.3">
      <c r="A63" s="24"/>
      <c r="B63" s="24"/>
      <c r="C63" s="24"/>
      <c r="D63" s="24"/>
      <c r="E63" s="24" t="s">
        <v>8</v>
      </c>
      <c r="F63" s="24"/>
      <c r="G63" s="45">
        <v>57312.77</v>
      </c>
      <c r="H63" s="45">
        <v>57425</v>
      </c>
      <c r="I63" s="48">
        <v>34187</v>
      </c>
      <c r="J63" s="48">
        <v>58641</v>
      </c>
      <c r="K63" s="48">
        <v>58688.51</v>
      </c>
      <c r="L63" s="207">
        <v>60097</v>
      </c>
      <c r="M63" s="23" t="s">
        <v>252</v>
      </c>
      <c r="N63" s="75">
        <v>61619</v>
      </c>
      <c r="O63" s="41" t="s">
        <v>252</v>
      </c>
    </row>
    <row r="64" spans="1:15" x14ac:dyDescent="0.3">
      <c r="A64" s="24"/>
      <c r="B64" s="24"/>
      <c r="C64" s="24"/>
      <c r="D64" s="24"/>
      <c r="E64" s="24" t="s">
        <v>9</v>
      </c>
      <c r="F64" s="24"/>
      <c r="G64" s="45">
        <v>2510</v>
      </c>
      <c r="H64" s="45">
        <v>2458</v>
      </c>
      <c r="I64" s="48">
        <v>1890</v>
      </c>
      <c r="J64" s="48">
        <v>2961</v>
      </c>
      <c r="K64" s="48">
        <v>2570.2399999999998</v>
      </c>
      <c r="L64" s="210">
        <f>K64</f>
        <v>2570.2399999999998</v>
      </c>
      <c r="M64" s="23" t="s">
        <v>252</v>
      </c>
      <c r="N64" s="75">
        <f>L64+(L64*N$52)</f>
        <v>2621.6447999999996</v>
      </c>
      <c r="O64" s="41" t="s">
        <v>252</v>
      </c>
    </row>
    <row r="65" spans="1:15" x14ac:dyDescent="0.3">
      <c r="A65" s="24"/>
      <c r="B65" s="24"/>
      <c r="C65" s="24"/>
      <c r="D65" s="24"/>
      <c r="E65" s="24" t="s">
        <v>10</v>
      </c>
      <c r="F65" s="24"/>
      <c r="G65" s="45">
        <v>12012</v>
      </c>
      <c r="H65" s="45">
        <v>12012</v>
      </c>
      <c r="I65" s="48">
        <v>7007</v>
      </c>
      <c r="J65" s="48">
        <v>12012</v>
      </c>
      <c r="K65" s="48">
        <v>12012</v>
      </c>
      <c r="L65" s="210">
        <f>K65</f>
        <v>12012</v>
      </c>
      <c r="M65" s="23" t="s">
        <v>252</v>
      </c>
      <c r="N65" s="75">
        <f>L65+(L65*N$52)</f>
        <v>12252.24</v>
      </c>
      <c r="O65" s="41" t="s">
        <v>252</v>
      </c>
    </row>
    <row r="66" spans="1:15" x14ac:dyDescent="0.3">
      <c r="A66" s="24"/>
      <c r="B66" s="24"/>
      <c r="C66" s="24"/>
      <c r="D66" s="24"/>
      <c r="E66" s="24" t="s">
        <v>11</v>
      </c>
      <c r="F66" s="24"/>
      <c r="G66" s="45">
        <v>2530</v>
      </c>
      <c r="H66" s="45">
        <v>2400</v>
      </c>
      <c r="I66" s="48">
        <v>1680</v>
      </c>
      <c r="J66" s="48">
        <v>2734</v>
      </c>
      <c r="K66" s="48">
        <v>2530</v>
      </c>
      <c r="L66" s="210">
        <f>K66+(210*12)+(60*12)</f>
        <v>5770</v>
      </c>
      <c r="M66" s="23" t="s">
        <v>252</v>
      </c>
      <c r="N66" s="75">
        <f>L66+(L66*N$52)</f>
        <v>5885.4</v>
      </c>
      <c r="O66" s="41" t="s">
        <v>252</v>
      </c>
    </row>
    <row r="67" spans="1:15" x14ac:dyDescent="0.3">
      <c r="A67" s="24"/>
      <c r="B67" s="24"/>
      <c r="C67" s="24"/>
      <c r="D67" s="24"/>
      <c r="E67" s="24" t="s">
        <v>12</v>
      </c>
      <c r="F67" s="24"/>
      <c r="G67" s="45">
        <v>6000</v>
      </c>
      <c r="H67" s="45">
        <v>6000</v>
      </c>
      <c r="I67" s="48">
        <v>4000</v>
      </c>
      <c r="J67" s="48">
        <v>6000</v>
      </c>
      <c r="K67" s="48">
        <v>6000</v>
      </c>
      <c r="L67" s="210">
        <f>K67</f>
        <v>6000</v>
      </c>
      <c r="M67" s="23" t="s">
        <v>252</v>
      </c>
      <c r="N67" s="75">
        <f>L67+(L67*N$52)</f>
        <v>6120</v>
      </c>
      <c r="O67" s="41" t="s">
        <v>252</v>
      </c>
    </row>
    <row r="68" spans="1:15" ht="15" thickBot="1" x14ac:dyDescent="0.35">
      <c r="A68" s="24"/>
      <c r="B68" s="24"/>
      <c r="C68" s="24"/>
      <c r="D68" s="24"/>
      <c r="E68" s="24" t="s">
        <v>13</v>
      </c>
      <c r="F68" s="24"/>
      <c r="G68" s="46">
        <v>3977</v>
      </c>
      <c r="H68" s="46">
        <v>4750</v>
      </c>
      <c r="I68" s="50">
        <v>500</v>
      </c>
      <c r="J68" s="50">
        <v>694</v>
      </c>
      <c r="K68" s="61">
        <v>4065</v>
      </c>
      <c r="L68" s="222">
        <v>1000</v>
      </c>
      <c r="M68" s="223" t="s">
        <v>253</v>
      </c>
      <c r="N68" s="224">
        <f>L68+(L68*N$52)</f>
        <v>1020</v>
      </c>
      <c r="O68" s="225" t="s">
        <v>252</v>
      </c>
    </row>
    <row r="69" spans="1:15" x14ac:dyDescent="0.3">
      <c r="A69" s="24"/>
      <c r="B69" s="24"/>
      <c r="C69" s="24"/>
      <c r="D69" s="24" t="s">
        <v>14</v>
      </c>
      <c r="E69" s="24"/>
      <c r="F69" s="24"/>
      <c r="G69" s="45">
        <v>84341.77</v>
      </c>
      <c r="H69" s="45">
        <v>85045</v>
      </c>
      <c r="I69" s="48">
        <f>SUM(I63:I68)</f>
        <v>49264</v>
      </c>
      <c r="J69" s="48">
        <f>SUM(J63:J68)</f>
        <v>83042</v>
      </c>
      <c r="K69" s="48">
        <f>SUM(K63:K68)</f>
        <v>85865.75</v>
      </c>
      <c r="L69" s="211">
        <f>SUM(L63:L68)</f>
        <v>87449.239999999991</v>
      </c>
      <c r="M69" s="23"/>
      <c r="N69" s="48">
        <f>SUM(N63:N68)</f>
        <v>89518.284799999994</v>
      </c>
      <c r="O69" s="148"/>
    </row>
    <row r="70" spans="1:15" x14ac:dyDescent="0.3">
      <c r="A70" s="24"/>
      <c r="B70" s="24"/>
      <c r="C70" s="24"/>
      <c r="D70" s="24" t="s">
        <v>15</v>
      </c>
      <c r="E70" s="24"/>
      <c r="F70" s="24"/>
      <c r="G70" s="45"/>
      <c r="H70" s="45"/>
      <c r="I70" s="112"/>
      <c r="J70" s="43"/>
      <c r="K70" s="160"/>
      <c r="L70" s="206"/>
      <c r="M70" s="23"/>
    </row>
    <row r="71" spans="1:15" x14ac:dyDescent="0.3">
      <c r="A71" s="24"/>
      <c r="B71" s="24"/>
      <c r="C71" s="24"/>
      <c r="D71" s="24"/>
      <c r="E71" s="24" t="s">
        <v>16</v>
      </c>
      <c r="F71" s="24"/>
      <c r="G71" s="45">
        <v>0</v>
      </c>
      <c r="H71" s="45">
        <v>2500</v>
      </c>
      <c r="I71" s="112"/>
      <c r="J71" s="43"/>
      <c r="K71" s="160"/>
      <c r="L71" s="206"/>
      <c r="M71" s="23"/>
    </row>
    <row r="72" spans="1:15" ht="24.6" x14ac:dyDescent="0.3">
      <c r="A72" s="24"/>
      <c r="B72" s="24"/>
      <c r="C72" s="24"/>
      <c r="D72" s="24"/>
      <c r="E72" s="24" t="s">
        <v>17</v>
      </c>
      <c r="F72" s="24"/>
      <c r="G72" s="45">
        <v>1084.27</v>
      </c>
      <c r="H72" s="45">
        <v>800</v>
      </c>
      <c r="I72" s="112">
        <v>539</v>
      </c>
      <c r="J72" s="48">
        <v>956</v>
      </c>
      <c r="K72" s="160">
        <v>1000</v>
      </c>
      <c r="L72" s="210">
        <f>K72</f>
        <v>1000</v>
      </c>
      <c r="M72" s="23" t="s">
        <v>189</v>
      </c>
      <c r="N72" s="41">
        <v>1000</v>
      </c>
    </row>
    <row r="73" spans="1:15" x14ac:dyDescent="0.3">
      <c r="A73" s="24"/>
      <c r="B73" s="24"/>
      <c r="C73" s="24"/>
      <c r="D73" s="24"/>
      <c r="E73" s="24" t="s">
        <v>18</v>
      </c>
      <c r="F73" s="24"/>
      <c r="G73" s="45">
        <v>155.9</v>
      </c>
      <c r="H73" s="45">
        <v>0</v>
      </c>
      <c r="I73" s="112"/>
      <c r="J73" s="43"/>
      <c r="K73" s="160"/>
      <c r="L73" s="206"/>
      <c r="M73" s="23"/>
    </row>
    <row r="74" spans="1:15" x14ac:dyDescent="0.3">
      <c r="A74" s="24"/>
      <c r="B74" s="24"/>
      <c r="C74" s="24"/>
      <c r="D74" s="24"/>
      <c r="E74" s="24" t="s">
        <v>19</v>
      </c>
      <c r="F74" s="24"/>
      <c r="G74" s="45">
        <v>0</v>
      </c>
      <c r="H74" s="45">
        <v>2000</v>
      </c>
      <c r="I74" s="112"/>
      <c r="J74" s="43"/>
      <c r="K74" s="160"/>
      <c r="L74" s="206"/>
      <c r="M74" s="23"/>
    </row>
    <row r="75" spans="1:15" ht="15" thickBot="1" x14ac:dyDescent="0.35">
      <c r="A75" s="24"/>
      <c r="B75" s="24"/>
      <c r="C75" s="24"/>
      <c r="D75" s="24"/>
      <c r="E75" s="24" t="s">
        <v>20</v>
      </c>
      <c r="F75" s="24"/>
      <c r="G75" s="45">
        <v>13362.25</v>
      </c>
      <c r="H75" s="45">
        <v>18000</v>
      </c>
      <c r="I75" s="112">
        <v>240</v>
      </c>
      <c r="J75" s="43">
        <v>19240</v>
      </c>
      <c r="K75" s="160">
        <v>17000</v>
      </c>
      <c r="L75" s="206">
        <v>18000</v>
      </c>
      <c r="M75" s="23" t="s">
        <v>346</v>
      </c>
      <c r="N75" s="75">
        <f>L75+(L75*N$52)</f>
        <v>18360</v>
      </c>
      <c r="O75" s="157" t="s">
        <v>307</v>
      </c>
    </row>
    <row r="76" spans="1:15" ht="15" thickBot="1" x14ac:dyDescent="0.35">
      <c r="A76" s="24"/>
      <c r="B76" s="24"/>
      <c r="C76" s="24"/>
      <c r="D76" s="24"/>
      <c r="E76" s="24" t="s">
        <v>21</v>
      </c>
      <c r="F76" s="24"/>
      <c r="G76" s="45">
        <v>133</v>
      </c>
      <c r="H76" s="45">
        <v>0</v>
      </c>
      <c r="I76" s="112"/>
      <c r="J76" s="43"/>
      <c r="K76" s="160"/>
      <c r="L76" s="212"/>
      <c r="M76" s="78"/>
      <c r="N76" s="79"/>
      <c r="O76" s="149" t="s">
        <v>194</v>
      </c>
    </row>
    <row r="77" spans="1:15" ht="15" thickBot="1" x14ac:dyDescent="0.35">
      <c r="A77" s="24"/>
      <c r="B77" s="24"/>
      <c r="C77" s="24"/>
      <c r="D77" s="24"/>
      <c r="E77" s="24" t="s">
        <v>22</v>
      </c>
      <c r="F77" s="24"/>
      <c r="G77" s="46">
        <v>20</v>
      </c>
      <c r="H77" s="46">
        <v>0</v>
      </c>
      <c r="I77" s="116"/>
      <c r="J77" s="47"/>
      <c r="K77" s="160"/>
      <c r="L77" s="206"/>
      <c r="M77" s="23"/>
    </row>
    <row r="78" spans="1:15" x14ac:dyDescent="0.3">
      <c r="A78" s="24"/>
      <c r="B78" s="24"/>
      <c r="C78" s="24"/>
      <c r="D78" s="24" t="s">
        <v>23</v>
      </c>
      <c r="E78" s="24"/>
      <c r="F78" s="24"/>
      <c r="G78" s="45">
        <v>14755.42</v>
      </c>
      <c r="H78" s="45">
        <v>23300</v>
      </c>
      <c r="I78" s="112">
        <f>SUM(I71:I77)</f>
        <v>779</v>
      </c>
      <c r="J78" s="43">
        <f>SUM(J71:J77)</f>
        <v>20196</v>
      </c>
      <c r="K78" s="160">
        <f>SUM(K71:K77)</f>
        <v>18000</v>
      </c>
      <c r="L78" s="209">
        <f>SUM(L71:L77)</f>
        <v>19000</v>
      </c>
      <c r="M78" s="51"/>
      <c r="N78" s="43">
        <f>SUM(N71:N77)</f>
        <v>19360</v>
      </c>
    </row>
    <row r="79" spans="1:15" x14ac:dyDescent="0.3">
      <c r="A79" s="24"/>
      <c r="B79" s="24"/>
      <c r="C79" s="24"/>
      <c r="D79" s="24" t="s">
        <v>24</v>
      </c>
      <c r="E79" s="24"/>
      <c r="F79" s="24"/>
      <c r="G79" s="45">
        <v>19.36</v>
      </c>
      <c r="H79" s="45">
        <v>0</v>
      </c>
      <c r="I79" s="112">
        <v>4</v>
      </c>
      <c r="J79" s="43">
        <v>4</v>
      </c>
      <c r="K79" s="160">
        <v>4</v>
      </c>
      <c r="L79" s="206"/>
      <c r="M79" s="23"/>
    </row>
    <row r="80" spans="1:15" x14ac:dyDescent="0.3">
      <c r="A80" s="24"/>
      <c r="B80" s="24"/>
      <c r="C80" s="24"/>
      <c r="D80" s="24" t="s">
        <v>25</v>
      </c>
      <c r="E80" s="24"/>
      <c r="F80" s="24"/>
      <c r="G80" s="45"/>
      <c r="H80" s="45"/>
      <c r="I80" s="112"/>
      <c r="J80" s="43"/>
      <c r="K80" s="160"/>
      <c r="L80" s="206"/>
      <c r="M80" s="23"/>
    </row>
    <row r="81" spans="1:14" x14ac:dyDescent="0.3">
      <c r="A81" s="24"/>
      <c r="B81" s="24"/>
      <c r="C81" s="24"/>
      <c r="D81" s="24"/>
      <c r="E81" s="24" t="s">
        <v>26</v>
      </c>
      <c r="F81" s="24"/>
      <c r="G81" s="45">
        <v>540</v>
      </c>
      <c r="H81" s="45">
        <v>0</v>
      </c>
      <c r="I81" s="112">
        <v>200</v>
      </c>
      <c r="J81" s="43">
        <v>400</v>
      </c>
      <c r="K81" s="160">
        <v>480</v>
      </c>
      <c r="L81" s="206"/>
      <c r="M81" s="23"/>
    </row>
    <row r="82" spans="1:14" x14ac:dyDescent="0.3">
      <c r="A82" s="24"/>
      <c r="B82" s="24"/>
      <c r="C82" s="24"/>
      <c r="D82" s="24"/>
      <c r="E82" s="24" t="s">
        <v>169</v>
      </c>
      <c r="F82" s="24"/>
      <c r="G82" s="45"/>
      <c r="H82" s="45"/>
      <c r="I82" s="112">
        <v>22</v>
      </c>
      <c r="J82" s="43">
        <v>22</v>
      </c>
      <c r="K82" s="160">
        <v>0</v>
      </c>
      <c r="L82" s="206"/>
      <c r="M82" s="23"/>
    </row>
    <row r="83" spans="1:14" x14ac:dyDescent="0.3">
      <c r="A83" s="24"/>
      <c r="B83" s="24"/>
      <c r="C83" s="24"/>
      <c r="D83" s="24"/>
      <c r="E83" s="24" t="s">
        <v>27</v>
      </c>
      <c r="F83" s="24"/>
      <c r="G83" s="45">
        <v>318.06</v>
      </c>
      <c r="H83" s="45">
        <v>1000</v>
      </c>
      <c r="I83" s="112">
        <v>32</v>
      </c>
      <c r="J83" s="43">
        <v>157</v>
      </c>
      <c r="K83" s="160">
        <v>300</v>
      </c>
      <c r="L83" s="206"/>
      <c r="M83" s="23"/>
    </row>
    <row r="84" spans="1:14" x14ac:dyDescent="0.3">
      <c r="A84" s="24"/>
      <c r="B84" s="24"/>
      <c r="C84" s="24"/>
      <c r="D84" s="24"/>
      <c r="E84" s="24" t="s">
        <v>28</v>
      </c>
      <c r="F84" s="24"/>
      <c r="G84" s="45">
        <v>713</v>
      </c>
      <c r="H84" s="45">
        <v>1000</v>
      </c>
      <c r="I84" s="112"/>
      <c r="J84" s="43"/>
      <c r="K84" s="160"/>
      <c r="L84" s="206"/>
      <c r="M84" s="23"/>
    </row>
    <row r="85" spans="1:14" x14ac:dyDescent="0.3">
      <c r="A85" s="24"/>
      <c r="B85" s="24"/>
      <c r="C85" s="24"/>
      <c r="D85" s="24"/>
      <c r="E85" s="24" t="s">
        <v>29</v>
      </c>
      <c r="F85" s="24"/>
      <c r="G85" s="45">
        <v>385.6</v>
      </c>
      <c r="H85" s="45">
        <v>0</v>
      </c>
      <c r="I85" s="112">
        <v>527</v>
      </c>
      <c r="J85" s="43">
        <v>527</v>
      </c>
      <c r="K85" s="160">
        <v>0</v>
      </c>
      <c r="L85" s="206"/>
      <c r="M85" s="23"/>
    </row>
    <row r="86" spans="1:14" ht="15" thickBot="1" x14ac:dyDescent="0.35">
      <c r="A86" s="24"/>
      <c r="B86" s="24"/>
      <c r="C86" s="24"/>
      <c r="D86" s="24"/>
      <c r="E86" s="24" t="s">
        <v>30</v>
      </c>
      <c r="F86" s="24"/>
      <c r="G86" s="52">
        <v>10367.25</v>
      </c>
      <c r="H86" s="52">
        <v>1000</v>
      </c>
      <c r="I86" s="116">
        <v>213</v>
      </c>
      <c r="J86" s="47">
        <v>213</v>
      </c>
      <c r="K86" s="160">
        <v>4500</v>
      </c>
      <c r="L86" s="206"/>
      <c r="M86" s="23"/>
    </row>
    <row r="87" spans="1:14" ht="15" thickBot="1" x14ac:dyDescent="0.35">
      <c r="A87" s="24"/>
      <c r="B87" s="24"/>
      <c r="C87" s="24"/>
      <c r="D87" s="24" t="s">
        <v>31</v>
      </c>
      <c r="E87" s="24"/>
      <c r="F87" s="24"/>
      <c r="G87" s="53">
        <v>12323.91</v>
      </c>
      <c r="H87" s="53">
        <v>3000</v>
      </c>
      <c r="I87" s="112">
        <f>SUM(I81:I86)</f>
        <v>994</v>
      </c>
      <c r="J87" s="43">
        <f>SUM(J81:J86)</f>
        <v>1319</v>
      </c>
      <c r="K87" s="160">
        <f>SUM(K81:K86)</f>
        <v>5280</v>
      </c>
      <c r="L87" s="206">
        <v>2000</v>
      </c>
      <c r="M87" s="23" t="s">
        <v>347</v>
      </c>
      <c r="N87" s="75">
        <f>L87+(L87*N$52)</f>
        <v>2040</v>
      </c>
    </row>
    <row r="88" spans="1:14" x14ac:dyDescent="0.3">
      <c r="A88" s="26"/>
      <c r="B88" s="27"/>
      <c r="C88" s="27" t="s">
        <v>32</v>
      </c>
      <c r="D88" s="27"/>
      <c r="E88" s="27"/>
      <c r="F88" s="27"/>
      <c r="G88" s="54">
        <v>536525.73</v>
      </c>
      <c r="H88" s="54">
        <v>546623</v>
      </c>
      <c r="I88" s="113">
        <f>I61+I69+I78+I79+I87</f>
        <v>318887</v>
      </c>
      <c r="J88" s="55">
        <f>J61+J69+J78+J79+J87</f>
        <v>555472</v>
      </c>
      <c r="K88" s="65">
        <f>K61+K69+K78+K79+K87</f>
        <v>591004.75</v>
      </c>
      <c r="L88" s="213">
        <f>L61+L69+L78+L79+L87</f>
        <v>546199.6</v>
      </c>
      <c r="M88" s="177"/>
      <c r="N88" s="55">
        <f>N61+N69+N78+N79+N87</f>
        <v>549547.1692</v>
      </c>
    </row>
    <row r="89" spans="1:14" x14ac:dyDescent="0.3">
      <c r="A89" s="28"/>
      <c r="B89" s="29"/>
      <c r="C89" s="29" t="s">
        <v>167</v>
      </c>
      <c r="D89" s="29"/>
      <c r="E89" s="29"/>
      <c r="F89" s="29"/>
      <c r="G89" s="56">
        <f>G230</f>
        <v>538448.75</v>
      </c>
      <c r="H89" s="56">
        <f>H230</f>
        <v>546624</v>
      </c>
      <c r="I89" s="117">
        <f>I230</f>
        <v>328467.23</v>
      </c>
      <c r="J89" s="56">
        <f>J230</f>
        <v>566818.57000000007</v>
      </c>
      <c r="K89" s="180">
        <f>K230</f>
        <v>591000.53</v>
      </c>
      <c r="L89" s="214">
        <f>L234</f>
        <v>565007.67999999993</v>
      </c>
      <c r="M89" s="177"/>
      <c r="N89" s="76">
        <f>N234</f>
        <v>565007.67999999993</v>
      </c>
    </row>
    <row r="90" spans="1:14" ht="15" thickBot="1" x14ac:dyDescent="0.35">
      <c r="A90" s="30"/>
      <c r="B90" s="31"/>
      <c r="C90" s="31"/>
      <c r="D90" s="31"/>
      <c r="E90" s="31"/>
      <c r="F90" s="32" t="s">
        <v>157</v>
      </c>
      <c r="G90" s="57">
        <f>G88-G89</f>
        <v>-1923.0200000000186</v>
      </c>
      <c r="H90" s="57">
        <f>H88-H89</f>
        <v>-1</v>
      </c>
      <c r="I90" s="114"/>
      <c r="J90" s="57">
        <f>J88-J89</f>
        <v>-11346.570000000065</v>
      </c>
      <c r="K90" s="180">
        <f>K88-K89</f>
        <v>4.2199999999720603</v>
      </c>
      <c r="L90" s="215">
        <f>L88-L89</f>
        <v>-18808.079999999958</v>
      </c>
      <c r="M90" s="177"/>
      <c r="N90" s="57">
        <f>N88-N89</f>
        <v>-15460.510799999931</v>
      </c>
    </row>
    <row r="91" spans="1:14" x14ac:dyDescent="0.3">
      <c r="A91" s="24"/>
      <c r="B91" s="24"/>
      <c r="C91" s="24" t="s">
        <v>33</v>
      </c>
      <c r="D91" s="24"/>
      <c r="E91" s="24"/>
      <c r="F91" s="24"/>
      <c r="G91" s="45"/>
      <c r="H91" s="45"/>
      <c r="I91" s="112"/>
      <c r="J91" s="43"/>
      <c r="K91" s="160"/>
      <c r="L91" s="206"/>
      <c r="M91" s="23"/>
    </row>
    <row r="92" spans="1:14" x14ac:dyDescent="0.3">
      <c r="A92" s="24"/>
      <c r="B92" s="24"/>
      <c r="C92" s="24"/>
      <c r="D92" s="24" t="s">
        <v>34</v>
      </c>
      <c r="E92" s="24"/>
      <c r="F92" s="24"/>
      <c r="G92" s="45"/>
      <c r="H92" s="45"/>
      <c r="I92" s="112"/>
      <c r="J92" s="43"/>
      <c r="K92" s="160"/>
      <c r="L92" s="206"/>
      <c r="M92" s="23"/>
    </row>
    <row r="93" spans="1:14" x14ac:dyDescent="0.3">
      <c r="A93" s="24"/>
      <c r="B93" s="24"/>
      <c r="C93" s="24"/>
      <c r="D93" s="24"/>
      <c r="E93" s="24" t="s">
        <v>35</v>
      </c>
      <c r="F93" s="24"/>
      <c r="G93" s="45">
        <v>1232.8599999999999</v>
      </c>
      <c r="H93" s="45">
        <v>2050</v>
      </c>
      <c r="I93" s="48">
        <v>729</v>
      </c>
      <c r="J93" s="43">
        <v>730</v>
      </c>
      <c r="K93" s="48">
        <v>2000</v>
      </c>
      <c r="L93" s="206"/>
      <c r="M93" s="23"/>
    </row>
    <row r="94" spans="1:14" x14ac:dyDescent="0.3">
      <c r="A94" s="24"/>
      <c r="B94" s="24"/>
      <c r="C94" s="24"/>
      <c r="D94" s="24"/>
      <c r="E94" s="24" t="s">
        <v>36</v>
      </c>
      <c r="F94" s="24"/>
      <c r="G94" s="45">
        <v>0</v>
      </c>
      <c r="H94" s="45">
        <v>100</v>
      </c>
      <c r="I94" s="48">
        <v>0</v>
      </c>
      <c r="J94" s="43">
        <v>42</v>
      </c>
      <c r="K94" s="48">
        <v>100</v>
      </c>
      <c r="L94" s="206"/>
      <c r="M94" s="23"/>
    </row>
    <row r="95" spans="1:14" x14ac:dyDescent="0.3">
      <c r="A95" s="24"/>
      <c r="B95" s="24"/>
      <c r="C95" s="24"/>
      <c r="D95" s="24"/>
      <c r="E95" s="24" t="s">
        <v>171</v>
      </c>
      <c r="F95" s="24"/>
      <c r="G95" s="45"/>
      <c r="H95" s="45"/>
      <c r="I95" s="48">
        <v>0</v>
      </c>
      <c r="J95" s="43">
        <v>104</v>
      </c>
      <c r="K95" s="48">
        <v>250</v>
      </c>
      <c r="L95" s="206"/>
      <c r="M95" s="23"/>
    </row>
    <row r="96" spans="1:14" x14ac:dyDescent="0.3">
      <c r="A96" s="24"/>
      <c r="B96" s="24"/>
      <c r="C96" s="24"/>
      <c r="D96" s="24"/>
      <c r="E96" s="24" t="s">
        <v>37</v>
      </c>
      <c r="F96" s="24"/>
      <c r="G96" s="45">
        <v>50</v>
      </c>
      <c r="H96" s="45">
        <v>0</v>
      </c>
      <c r="I96" s="48">
        <v>163</v>
      </c>
      <c r="J96" s="43">
        <v>163</v>
      </c>
      <c r="K96" s="48">
        <v>0</v>
      </c>
      <c r="L96" s="206"/>
      <c r="M96" s="23"/>
    </row>
    <row r="97" spans="1:15" x14ac:dyDescent="0.3">
      <c r="A97" s="24"/>
      <c r="B97" s="24"/>
      <c r="C97" s="24"/>
      <c r="D97" s="24"/>
      <c r="E97" s="24" t="s">
        <v>38</v>
      </c>
      <c r="F97" s="24"/>
      <c r="G97" s="45">
        <v>607.17999999999995</v>
      </c>
      <c r="H97" s="45">
        <v>350</v>
      </c>
      <c r="I97" s="48">
        <v>239</v>
      </c>
      <c r="J97" s="43">
        <v>407</v>
      </c>
      <c r="K97" s="48">
        <v>400</v>
      </c>
      <c r="L97" s="206"/>
      <c r="M97" s="23"/>
    </row>
    <row r="98" spans="1:15" x14ac:dyDescent="0.3">
      <c r="A98" s="24"/>
      <c r="B98" s="24"/>
      <c r="C98" s="24"/>
      <c r="D98" s="24"/>
      <c r="E98" s="24" t="s">
        <v>39</v>
      </c>
      <c r="F98" s="24"/>
      <c r="G98" s="45">
        <v>214.39</v>
      </c>
      <c r="H98" s="45">
        <v>0</v>
      </c>
      <c r="I98" s="48">
        <v>66</v>
      </c>
      <c r="J98" s="43">
        <v>149</v>
      </c>
      <c r="K98" s="48">
        <v>200</v>
      </c>
      <c r="L98" s="206"/>
      <c r="M98" s="23"/>
    </row>
    <row r="99" spans="1:15" x14ac:dyDescent="0.3">
      <c r="A99" s="24"/>
      <c r="B99" s="24"/>
      <c r="C99" s="24"/>
      <c r="D99" s="24"/>
      <c r="E99" s="24" t="s">
        <v>40</v>
      </c>
      <c r="F99" s="24"/>
      <c r="G99" s="45">
        <v>359.63</v>
      </c>
      <c r="H99" s="45">
        <v>759</v>
      </c>
      <c r="I99" s="48">
        <v>0</v>
      </c>
      <c r="J99" s="43">
        <v>292</v>
      </c>
      <c r="K99" s="48">
        <v>700</v>
      </c>
      <c r="L99" s="206"/>
      <c r="M99" s="23"/>
    </row>
    <row r="100" spans="1:15" x14ac:dyDescent="0.3">
      <c r="A100" s="24"/>
      <c r="B100" s="24"/>
      <c r="C100" s="24"/>
      <c r="D100" s="24"/>
      <c r="E100" s="24" t="s">
        <v>41</v>
      </c>
      <c r="F100" s="24"/>
      <c r="G100" s="45">
        <v>0</v>
      </c>
      <c r="H100" s="45">
        <v>240</v>
      </c>
      <c r="I100" s="48">
        <v>300</v>
      </c>
      <c r="J100" s="43">
        <v>374</v>
      </c>
      <c r="K100" s="48">
        <v>178</v>
      </c>
      <c r="L100" s="206"/>
      <c r="M100" s="23"/>
    </row>
    <row r="101" spans="1:15" x14ac:dyDescent="0.3">
      <c r="A101" s="24"/>
      <c r="B101" s="24"/>
      <c r="C101" s="24"/>
      <c r="D101" s="24"/>
      <c r="E101" s="24" t="s">
        <v>42</v>
      </c>
      <c r="F101" s="24"/>
      <c r="G101" s="45">
        <v>705.43</v>
      </c>
      <c r="H101" s="45">
        <v>700</v>
      </c>
      <c r="I101" s="48">
        <v>152</v>
      </c>
      <c r="J101" s="43">
        <v>444</v>
      </c>
      <c r="K101" s="48">
        <v>700</v>
      </c>
      <c r="L101" s="206"/>
      <c r="M101" s="23"/>
    </row>
    <row r="102" spans="1:15" x14ac:dyDescent="0.3">
      <c r="A102" s="24"/>
      <c r="B102" s="24"/>
      <c r="C102" s="24"/>
      <c r="D102" s="24"/>
      <c r="E102" s="24" t="s">
        <v>43</v>
      </c>
      <c r="F102" s="24"/>
      <c r="G102" s="45">
        <v>0</v>
      </c>
      <c r="H102" s="45">
        <v>150</v>
      </c>
      <c r="I102" s="48">
        <v>-50</v>
      </c>
      <c r="J102" s="43">
        <v>13</v>
      </c>
      <c r="K102" s="48">
        <v>150</v>
      </c>
      <c r="L102" s="206"/>
      <c r="M102" s="23"/>
    </row>
    <row r="103" spans="1:15" x14ac:dyDescent="0.3">
      <c r="A103" s="24"/>
      <c r="B103" s="24"/>
      <c r="C103" s="24"/>
      <c r="D103" s="24"/>
      <c r="E103" s="24" t="s">
        <v>44</v>
      </c>
      <c r="F103" s="24"/>
      <c r="G103" s="45">
        <v>370.4</v>
      </c>
      <c r="H103" s="45">
        <v>4200</v>
      </c>
      <c r="I103" s="48">
        <v>258</v>
      </c>
      <c r="J103" s="43">
        <v>258</v>
      </c>
      <c r="K103" s="48">
        <v>2000</v>
      </c>
      <c r="L103" s="206"/>
      <c r="M103" s="23"/>
    </row>
    <row r="104" spans="1:15" x14ac:dyDescent="0.3">
      <c r="A104" s="24"/>
      <c r="B104" s="24"/>
      <c r="C104" s="24"/>
      <c r="D104" s="24"/>
      <c r="E104" s="24" t="s">
        <v>45</v>
      </c>
      <c r="F104" s="24"/>
      <c r="G104" s="45"/>
      <c r="H104" s="45"/>
      <c r="I104" s="48" t="s">
        <v>166</v>
      </c>
      <c r="J104" s="43"/>
      <c r="K104" s="48"/>
      <c r="L104" s="206"/>
      <c r="M104" s="23"/>
    </row>
    <row r="105" spans="1:15" x14ac:dyDescent="0.3">
      <c r="A105" s="24"/>
      <c r="B105" s="24"/>
      <c r="C105" s="24"/>
      <c r="D105" s="24"/>
      <c r="E105" s="24"/>
      <c r="F105" s="24" t="s">
        <v>46</v>
      </c>
      <c r="G105" s="45">
        <v>288.51</v>
      </c>
      <c r="H105" s="45">
        <v>150</v>
      </c>
      <c r="I105" s="48">
        <v>0</v>
      </c>
      <c r="J105" s="43">
        <v>0</v>
      </c>
      <c r="K105" s="48">
        <v>200</v>
      </c>
      <c r="L105" s="206"/>
      <c r="M105" s="23"/>
    </row>
    <row r="106" spans="1:15" x14ac:dyDescent="0.3">
      <c r="A106" s="24"/>
      <c r="B106" s="24"/>
      <c r="C106" s="24"/>
      <c r="D106" s="24"/>
      <c r="E106" s="24"/>
      <c r="F106" s="24" t="s">
        <v>47</v>
      </c>
      <c r="G106" s="45">
        <v>495.18</v>
      </c>
      <c r="H106" s="45">
        <v>550</v>
      </c>
      <c r="I106" s="48">
        <v>143.04</v>
      </c>
      <c r="J106" s="43">
        <v>372</v>
      </c>
      <c r="K106" s="48">
        <v>550</v>
      </c>
      <c r="L106" s="206"/>
      <c r="M106" s="23"/>
    </row>
    <row r="107" spans="1:15" x14ac:dyDescent="0.3">
      <c r="A107" s="24"/>
      <c r="B107" s="24"/>
      <c r="C107" s="24"/>
      <c r="D107" s="24"/>
      <c r="E107" s="24"/>
      <c r="F107" s="24" t="s">
        <v>48</v>
      </c>
      <c r="G107" s="45">
        <v>1000</v>
      </c>
      <c r="H107" s="45">
        <v>0</v>
      </c>
      <c r="I107" s="48">
        <v>0</v>
      </c>
      <c r="J107" s="43">
        <v>0</v>
      </c>
      <c r="K107" s="48">
        <v>500</v>
      </c>
      <c r="L107" s="206"/>
      <c r="M107" s="23"/>
    </row>
    <row r="108" spans="1:15" ht="15" thickBot="1" x14ac:dyDescent="0.35">
      <c r="A108" s="24"/>
      <c r="B108" s="24"/>
      <c r="C108" s="24"/>
      <c r="D108" s="24"/>
      <c r="E108" s="24"/>
      <c r="F108" s="24" t="s">
        <v>49</v>
      </c>
      <c r="G108" s="52">
        <v>523.54</v>
      </c>
      <c r="H108" s="52">
        <v>350</v>
      </c>
      <c r="I108" s="48">
        <v>60</v>
      </c>
      <c r="J108" s="43">
        <v>60</v>
      </c>
      <c r="K108" s="61">
        <v>300</v>
      </c>
      <c r="L108" s="206"/>
      <c r="M108" s="23"/>
    </row>
    <row r="109" spans="1:15" ht="15" thickBot="1" x14ac:dyDescent="0.35">
      <c r="A109" s="24"/>
      <c r="B109" s="24"/>
      <c r="C109" s="24"/>
      <c r="D109" s="24"/>
      <c r="E109" s="24" t="s">
        <v>50</v>
      </c>
      <c r="F109" s="24"/>
      <c r="G109" s="59">
        <v>2307.23</v>
      </c>
      <c r="H109" s="59">
        <v>1050</v>
      </c>
      <c r="I109" s="60">
        <f>ROUND(SUM(I105:I108),5)</f>
        <v>203.04</v>
      </c>
      <c r="J109" s="60">
        <f>ROUND(SUM(J104:J108),5)</f>
        <v>432</v>
      </c>
      <c r="K109" s="48">
        <f>ROUND(SUM(K104:K108),5)</f>
        <v>1550</v>
      </c>
      <c r="L109" s="206"/>
      <c r="M109" s="23"/>
      <c r="N109" s="80" t="s">
        <v>196</v>
      </c>
      <c r="O109" s="226">
        <v>0</v>
      </c>
    </row>
    <row r="110" spans="1:15" x14ac:dyDescent="0.3">
      <c r="A110" s="24"/>
      <c r="B110" s="24"/>
      <c r="C110" s="24"/>
      <c r="D110" s="24" t="s">
        <v>51</v>
      </c>
      <c r="E110" s="24"/>
      <c r="F110" s="24"/>
      <c r="G110" s="45">
        <v>5847.12</v>
      </c>
      <c r="H110" s="45">
        <v>9599</v>
      </c>
      <c r="I110" s="48">
        <f>ROUND(SUM(I92:I104)+I109,5)</f>
        <v>2060.04</v>
      </c>
      <c r="J110" s="48">
        <f>ROUND(SUM(J92:J104)+J109,5)</f>
        <v>3408</v>
      </c>
      <c r="K110" s="48">
        <f>ROUND(SUM(K92:K103)+K109,5)</f>
        <v>8228</v>
      </c>
      <c r="L110" s="206">
        <v>8300</v>
      </c>
      <c r="M110" s="23" t="s">
        <v>190</v>
      </c>
      <c r="N110" s="41">
        <f>L110+(L110*O1)</f>
        <v>8300</v>
      </c>
    </row>
    <row r="111" spans="1:15" x14ac:dyDescent="0.3">
      <c r="A111" s="24"/>
      <c r="B111" s="24"/>
      <c r="C111" s="24"/>
      <c r="D111" s="24" t="s">
        <v>52</v>
      </c>
      <c r="E111" s="24"/>
      <c r="F111" s="24"/>
      <c r="G111" s="45"/>
      <c r="H111" s="45"/>
      <c r="I111" s="112"/>
      <c r="J111" s="43"/>
      <c r="K111" s="160"/>
      <c r="L111" s="206"/>
      <c r="M111" s="23"/>
    </row>
    <row r="112" spans="1:15" x14ac:dyDescent="0.3">
      <c r="A112" s="24"/>
      <c r="B112" s="24"/>
      <c r="C112" s="24"/>
      <c r="D112" s="24"/>
      <c r="E112" s="24" t="s">
        <v>53</v>
      </c>
      <c r="F112" s="24"/>
      <c r="G112" s="45"/>
      <c r="H112" s="45"/>
      <c r="I112" s="112"/>
      <c r="J112" s="43"/>
      <c r="K112" s="160"/>
      <c r="L112" s="206"/>
      <c r="M112" s="23"/>
    </row>
    <row r="113" spans="1:14" x14ac:dyDescent="0.3">
      <c r="A113" s="24"/>
      <c r="B113" s="24"/>
      <c r="C113" s="24"/>
      <c r="D113" s="24"/>
      <c r="E113" s="24"/>
      <c r="F113" s="24" t="s">
        <v>54</v>
      </c>
      <c r="G113" s="45">
        <v>1382.3</v>
      </c>
      <c r="H113" s="45">
        <v>800</v>
      </c>
      <c r="I113" s="48">
        <v>694.91</v>
      </c>
      <c r="J113" s="43">
        <v>325</v>
      </c>
      <c r="K113" s="48">
        <v>800</v>
      </c>
      <c r="L113" s="206"/>
      <c r="M113" s="23"/>
    </row>
    <row r="114" spans="1:14" x14ac:dyDescent="0.3">
      <c r="A114" s="24"/>
      <c r="B114" s="24"/>
      <c r="C114" s="24"/>
      <c r="D114" s="24"/>
      <c r="E114" s="24"/>
      <c r="F114" s="24" t="s">
        <v>55</v>
      </c>
      <c r="G114" s="45">
        <v>225</v>
      </c>
      <c r="H114" s="45">
        <v>700</v>
      </c>
      <c r="I114" s="48">
        <v>-220</v>
      </c>
      <c r="J114" s="43">
        <v>150</v>
      </c>
      <c r="K114" s="48">
        <v>700</v>
      </c>
      <c r="L114" s="206"/>
      <c r="M114" s="23"/>
    </row>
    <row r="115" spans="1:14" ht="15" thickBot="1" x14ac:dyDescent="0.35">
      <c r="A115" s="24"/>
      <c r="B115" s="24"/>
      <c r="C115" s="24"/>
      <c r="D115" s="24"/>
      <c r="E115" s="24"/>
      <c r="F115" s="24" t="s">
        <v>56</v>
      </c>
      <c r="G115" s="46">
        <v>302.98</v>
      </c>
      <c r="H115" s="46">
        <v>500</v>
      </c>
      <c r="I115" s="50">
        <v>0</v>
      </c>
      <c r="J115" s="43">
        <v>-1.999999999998181E-2</v>
      </c>
      <c r="K115" s="48">
        <v>500</v>
      </c>
      <c r="L115" s="206"/>
      <c r="M115" s="23"/>
    </row>
    <row r="116" spans="1:14" x14ac:dyDescent="0.3">
      <c r="A116" s="24"/>
      <c r="B116" s="24"/>
      <c r="C116" s="24"/>
      <c r="D116" s="24"/>
      <c r="E116" s="24" t="s">
        <v>57</v>
      </c>
      <c r="F116" s="24"/>
      <c r="G116" s="45">
        <v>1910.28</v>
      </c>
      <c r="H116" s="45">
        <v>2000</v>
      </c>
      <c r="I116" s="48">
        <f>ROUND(SUM(I112:I115),5)</f>
        <v>474.91</v>
      </c>
      <c r="J116" s="48">
        <f>ROUND(SUM(J112:J115),5)</f>
        <v>474.98</v>
      </c>
      <c r="K116" s="48">
        <f>ROUND(SUM(K112:K115),5)</f>
        <v>2000</v>
      </c>
      <c r="L116" s="206">
        <v>2000</v>
      </c>
      <c r="M116" s="23"/>
      <c r="N116" s="41">
        <f>L116+(L116*O109)</f>
        <v>2000</v>
      </c>
    </row>
    <row r="117" spans="1:14" x14ac:dyDescent="0.3">
      <c r="A117" s="24"/>
      <c r="B117" s="24"/>
      <c r="C117" s="24"/>
      <c r="D117" s="24"/>
      <c r="E117" s="24" t="s">
        <v>58</v>
      </c>
      <c r="F117" s="24"/>
      <c r="G117" s="45"/>
      <c r="H117" s="45"/>
      <c r="I117" s="112"/>
      <c r="J117" s="43"/>
      <c r="K117" s="160"/>
      <c r="L117" s="206"/>
      <c r="M117" s="23"/>
    </row>
    <row r="118" spans="1:14" x14ac:dyDescent="0.3">
      <c r="A118" s="24"/>
      <c r="B118" s="24"/>
      <c r="C118" s="24"/>
      <c r="D118" s="24"/>
      <c r="E118" s="24"/>
      <c r="F118" s="24" t="s">
        <v>59</v>
      </c>
      <c r="G118" s="45">
        <v>90.61</v>
      </c>
      <c r="H118" s="45">
        <v>65</v>
      </c>
      <c r="I118" s="48">
        <v>56.94</v>
      </c>
      <c r="J118" s="43">
        <v>78</v>
      </c>
      <c r="K118" s="48">
        <v>50</v>
      </c>
      <c r="L118" s="206"/>
      <c r="M118" s="23"/>
    </row>
    <row r="119" spans="1:14" x14ac:dyDescent="0.3">
      <c r="A119" s="24"/>
      <c r="B119" s="24"/>
      <c r="C119" s="24"/>
      <c r="D119" s="24"/>
      <c r="E119" s="24"/>
      <c r="F119" s="24" t="s">
        <v>60</v>
      </c>
      <c r="G119" s="45">
        <v>2979.87</v>
      </c>
      <c r="H119" s="45">
        <v>3975</v>
      </c>
      <c r="I119" s="48">
        <v>2080</v>
      </c>
      <c r="J119" s="43">
        <v>3677</v>
      </c>
      <c r="K119" s="48">
        <v>5032</v>
      </c>
      <c r="L119" s="206"/>
      <c r="M119" s="23"/>
    </row>
    <row r="120" spans="1:14" x14ac:dyDescent="0.3">
      <c r="A120" s="24"/>
      <c r="B120" s="24"/>
      <c r="C120" s="24"/>
      <c r="D120" s="24"/>
      <c r="E120" s="24"/>
      <c r="F120" s="24" t="s">
        <v>61</v>
      </c>
      <c r="G120" s="45">
        <v>330.65</v>
      </c>
      <c r="H120" s="45">
        <v>325</v>
      </c>
      <c r="I120" s="48">
        <v>0</v>
      </c>
      <c r="J120" s="43">
        <v>125</v>
      </c>
      <c r="K120" s="48">
        <v>300</v>
      </c>
      <c r="L120" s="206"/>
      <c r="M120" s="23"/>
    </row>
    <row r="121" spans="1:14" x14ac:dyDescent="0.3">
      <c r="A121" s="24"/>
      <c r="B121" s="24"/>
      <c r="C121" s="24"/>
      <c r="D121" s="24"/>
      <c r="E121" s="24"/>
      <c r="F121" s="24" t="s">
        <v>62</v>
      </c>
      <c r="G121" s="45">
        <v>717.32</v>
      </c>
      <c r="H121" s="45">
        <v>450</v>
      </c>
      <c r="I121" s="48">
        <v>461.73</v>
      </c>
      <c r="J121" s="43">
        <v>628</v>
      </c>
      <c r="K121" s="48">
        <v>400</v>
      </c>
      <c r="L121" s="206"/>
      <c r="M121" s="23"/>
    </row>
    <row r="122" spans="1:14" x14ac:dyDescent="0.3">
      <c r="A122" s="24"/>
      <c r="B122" s="24"/>
      <c r="C122" s="24"/>
      <c r="D122" s="24"/>
      <c r="E122" s="24"/>
      <c r="F122" s="24" t="s">
        <v>172</v>
      </c>
      <c r="G122" s="45"/>
      <c r="H122" s="45"/>
      <c r="I122" s="48">
        <v>1515</v>
      </c>
      <c r="J122" s="43">
        <v>3182</v>
      </c>
      <c r="K122" s="48">
        <v>4000</v>
      </c>
      <c r="L122" s="206"/>
      <c r="M122" s="23"/>
    </row>
    <row r="123" spans="1:14" x14ac:dyDescent="0.3">
      <c r="A123" s="24"/>
      <c r="B123" s="24"/>
      <c r="C123" s="24"/>
      <c r="D123" s="24"/>
      <c r="E123" s="24"/>
      <c r="F123" s="24" t="s">
        <v>63</v>
      </c>
      <c r="G123" s="45">
        <v>1713.61</v>
      </c>
      <c r="H123" s="45">
        <v>1725</v>
      </c>
      <c r="I123" s="48">
        <v>1766</v>
      </c>
      <c r="J123" s="43">
        <v>2799.6</v>
      </c>
      <c r="K123" s="48">
        <v>2800</v>
      </c>
      <c r="L123" s="206"/>
      <c r="M123" s="23"/>
    </row>
    <row r="124" spans="1:14" x14ac:dyDescent="0.3">
      <c r="A124" s="24"/>
      <c r="B124" s="24"/>
      <c r="C124" s="24"/>
      <c r="D124" s="24"/>
      <c r="E124" s="24"/>
      <c r="F124" s="24" t="s">
        <v>64</v>
      </c>
      <c r="G124" s="45">
        <v>1899.15</v>
      </c>
      <c r="H124" s="45">
        <v>1550</v>
      </c>
      <c r="I124" s="48">
        <v>1019</v>
      </c>
      <c r="J124" s="43">
        <v>1495</v>
      </c>
      <c r="K124" s="48">
        <v>1622</v>
      </c>
      <c r="L124" s="206"/>
      <c r="M124" s="23"/>
    </row>
    <row r="125" spans="1:14" x14ac:dyDescent="0.3">
      <c r="A125" s="24"/>
      <c r="B125" s="24"/>
      <c r="C125" s="24"/>
      <c r="D125" s="24"/>
      <c r="E125" s="24"/>
      <c r="F125" s="24" t="s">
        <v>65</v>
      </c>
      <c r="G125" s="45">
        <v>1652.14</v>
      </c>
      <c r="H125" s="45">
        <v>1450</v>
      </c>
      <c r="I125" s="48">
        <v>320</v>
      </c>
      <c r="J125" s="43">
        <v>425</v>
      </c>
      <c r="K125" s="48">
        <v>1450</v>
      </c>
      <c r="L125" s="206"/>
      <c r="M125" s="23"/>
    </row>
    <row r="126" spans="1:14" ht="15" thickBot="1" x14ac:dyDescent="0.35">
      <c r="A126" s="24"/>
      <c r="B126" s="24"/>
      <c r="C126" s="24"/>
      <c r="D126" s="24"/>
      <c r="E126" s="24"/>
      <c r="F126" s="24" t="s">
        <v>45</v>
      </c>
      <c r="G126" s="46">
        <v>188.56</v>
      </c>
      <c r="H126" s="46">
        <v>125</v>
      </c>
      <c r="I126" s="50">
        <v>155</v>
      </c>
      <c r="J126" s="43">
        <v>171</v>
      </c>
      <c r="K126" s="48">
        <v>200</v>
      </c>
      <c r="L126" s="206"/>
      <c r="M126" s="23"/>
    </row>
    <row r="127" spans="1:14" x14ac:dyDescent="0.3">
      <c r="A127" s="24"/>
      <c r="B127" s="24"/>
      <c r="C127" s="24"/>
      <c r="D127" s="24"/>
      <c r="E127" s="24" t="s">
        <v>66</v>
      </c>
      <c r="F127" s="24"/>
      <c r="G127" s="45">
        <v>9571.91</v>
      </c>
      <c r="H127" s="45">
        <v>9665</v>
      </c>
      <c r="I127" s="48">
        <f>ROUND(SUM(I117:I126),5)</f>
        <v>7373.67</v>
      </c>
      <c r="J127" s="48">
        <f>ROUND(SUM(J117:J126),5)</f>
        <v>12580.6</v>
      </c>
      <c r="K127" s="48">
        <f>ROUND(SUM(K117:K126),5)</f>
        <v>15854</v>
      </c>
      <c r="L127" s="210">
        <f>K127</f>
        <v>15854</v>
      </c>
      <c r="M127" s="23"/>
      <c r="N127" s="41">
        <f>L127+(L127*O109)</f>
        <v>15854</v>
      </c>
    </row>
    <row r="128" spans="1:14" x14ac:dyDescent="0.3">
      <c r="A128" s="24"/>
      <c r="B128" s="24"/>
      <c r="C128" s="24"/>
      <c r="D128" s="24"/>
      <c r="E128" s="24"/>
      <c r="F128" s="68" t="s">
        <v>191</v>
      </c>
      <c r="G128" s="69"/>
      <c r="H128" s="69"/>
      <c r="I128" s="48"/>
      <c r="J128" s="71"/>
      <c r="K128" s="70">
        <v>0</v>
      </c>
      <c r="L128" s="206"/>
      <c r="M128" s="73" t="s">
        <v>315</v>
      </c>
    </row>
    <row r="129" spans="1:15" x14ac:dyDescent="0.3">
      <c r="A129" s="24"/>
      <c r="B129" s="24"/>
      <c r="C129" s="24"/>
      <c r="D129" s="24"/>
      <c r="E129" s="24" t="s">
        <v>67</v>
      </c>
      <c r="F129" s="24"/>
      <c r="G129" s="45"/>
      <c r="H129" s="45"/>
      <c r="I129" s="112"/>
      <c r="J129" s="43"/>
      <c r="K129" s="160"/>
      <c r="L129" s="206"/>
      <c r="M129" s="23"/>
    </row>
    <row r="130" spans="1:15" x14ac:dyDescent="0.3">
      <c r="A130" s="24"/>
      <c r="B130" s="24"/>
      <c r="C130" s="24"/>
      <c r="D130" s="24"/>
      <c r="E130" s="24"/>
      <c r="F130" s="24" t="s">
        <v>173</v>
      </c>
      <c r="G130" s="45"/>
      <c r="H130" s="45"/>
      <c r="I130" s="48">
        <v>0</v>
      </c>
      <c r="J130" s="43">
        <v>92</v>
      </c>
      <c r="K130" s="48">
        <v>100</v>
      </c>
      <c r="L130" s="210">
        <f>K130</f>
        <v>100</v>
      </c>
      <c r="M130" s="23"/>
    </row>
    <row r="131" spans="1:15" ht="24.6" x14ac:dyDescent="0.3">
      <c r="A131" s="24"/>
      <c r="B131" s="24"/>
      <c r="C131" s="24"/>
      <c r="D131" s="24"/>
      <c r="E131" s="24"/>
      <c r="F131" s="24" t="s">
        <v>68</v>
      </c>
      <c r="G131" s="45">
        <v>3665.28</v>
      </c>
      <c r="H131" s="45">
        <v>4400</v>
      </c>
      <c r="I131" s="48">
        <v>0</v>
      </c>
      <c r="J131" s="43">
        <v>1152</v>
      </c>
      <c r="K131" s="48">
        <v>2765.95</v>
      </c>
      <c r="L131" s="206">
        <f>K58*0.13</f>
        <v>2600</v>
      </c>
      <c r="M131" s="23" t="s">
        <v>231</v>
      </c>
    </row>
    <row r="132" spans="1:15" x14ac:dyDescent="0.3">
      <c r="A132" s="24"/>
      <c r="B132" s="24"/>
      <c r="C132" s="24"/>
      <c r="D132" s="24"/>
      <c r="E132" s="24"/>
      <c r="F132" s="24" t="s">
        <v>69</v>
      </c>
      <c r="G132" s="45">
        <v>205.99</v>
      </c>
      <c r="H132" s="45">
        <v>300</v>
      </c>
      <c r="I132" s="48">
        <v>0</v>
      </c>
      <c r="J132" s="43">
        <v>183</v>
      </c>
      <c r="K132" s="48">
        <v>200</v>
      </c>
      <c r="L132" s="210">
        <f>K132</f>
        <v>200</v>
      </c>
      <c r="M132" s="23"/>
    </row>
    <row r="133" spans="1:15" x14ac:dyDescent="0.3">
      <c r="A133" s="24"/>
      <c r="B133" s="24"/>
      <c r="C133" s="24"/>
      <c r="D133" s="24"/>
      <c r="E133" s="24"/>
      <c r="F133" s="24" t="s">
        <v>174</v>
      </c>
      <c r="G133" s="45"/>
      <c r="H133" s="45"/>
      <c r="I133" s="48">
        <v>0</v>
      </c>
      <c r="J133" s="43">
        <v>458</v>
      </c>
      <c r="K133" s="48">
        <v>500</v>
      </c>
      <c r="L133" s="210">
        <f>K133</f>
        <v>500</v>
      </c>
      <c r="M133" s="23"/>
    </row>
    <row r="134" spans="1:15" x14ac:dyDescent="0.3">
      <c r="A134" s="24"/>
      <c r="B134" s="24"/>
      <c r="C134" s="24"/>
      <c r="D134" s="24"/>
      <c r="E134" s="24"/>
      <c r="F134" s="24" t="s">
        <v>175</v>
      </c>
      <c r="G134" s="45"/>
      <c r="H134" s="45"/>
      <c r="I134" s="48">
        <v>-76.81</v>
      </c>
      <c r="J134" s="43">
        <v>65</v>
      </c>
      <c r="K134" s="48">
        <v>100</v>
      </c>
      <c r="L134" s="210">
        <f>K134</f>
        <v>100</v>
      </c>
      <c r="M134" s="23"/>
    </row>
    <row r="135" spans="1:15" x14ac:dyDescent="0.3">
      <c r="A135" s="24"/>
      <c r="B135" s="24"/>
      <c r="C135" s="24"/>
      <c r="D135" s="24"/>
      <c r="E135" s="24"/>
      <c r="F135" s="24" t="s">
        <v>56</v>
      </c>
      <c r="G135" s="45">
        <v>1049.56</v>
      </c>
      <c r="H135" s="45">
        <v>1162.46</v>
      </c>
      <c r="I135" s="48">
        <v>239</v>
      </c>
      <c r="J135" s="43">
        <v>343</v>
      </c>
      <c r="K135" s="48">
        <v>250</v>
      </c>
      <c r="L135" s="210">
        <f>K135</f>
        <v>250</v>
      </c>
      <c r="M135" s="23"/>
    </row>
    <row r="136" spans="1:15" ht="15" thickBot="1" x14ac:dyDescent="0.35">
      <c r="A136" s="24"/>
      <c r="B136" s="24"/>
      <c r="C136" s="24"/>
      <c r="D136" s="24"/>
      <c r="E136" s="24"/>
      <c r="F136" s="24" t="s">
        <v>70</v>
      </c>
      <c r="G136" s="52">
        <v>1000</v>
      </c>
      <c r="H136" s="52">
        <v>1000</v>
      </c>
      <c r="I136" s="48">
        <v>0</v>
      </c>
      <c r="J136" s="43">
        <v>1000.02</v>
      </c>
      <c r="K136" s="61">
        <v>1000</v>
      </c>
      <c r="L136" s="210">
        <f>K136</f>
        <v>1000</v>
      </c>
      <c r="M136" s="23"/>
    </row>
    <row r="137" spans="1:15" ht="15" thickBot="1" x14ac:dyDescent="0.35">
      <c r="A137" s="24"/>
      <c r="B137" s="24"/>
      <c r="C137" s="24"/>
      <c r="D137" s="24"/>
      <c r="E137" s="24" t="s">
        <v>71</v>
      </c>
      <c r="F137" s="24"/>
      <c r="G137" s="59">
        <v>5920.83</v>
      </c>
      <c r="H137" s="59">
        <v>6862.46</v>
      </c>
      <c r="I137" s="60">
        <f>ROUND(SUM(I129:I136),5)</f>
        <v>162.19</v>
      </c>
      <c r="J137" s="60">
        <f>ROUND(SUM(J129:J136),5)</f>
        <v>3293.02</v>
      </c>
      <c r="K137" s="48">
        <f>ROUND(SUM(K129:K136),5)</f>
        <v>4915.95</v>
      </c>
      <c r="L137" s="216">
        <v>4900</v>
      </c>
      <c r="M137" s="23"/>
      <c r="N137" s="41">
        <v>4900</v>
      </c>
    </row>
    <row r="138" spans="1:15" x14ac:dyDescent="0.3">
      <c r="A138" s="24"/>
      <c r="B138" s="24"/>
      <c r="C138" s="24"/>
      <c r="D138" s="24" t="s">
        <v>72</v>
      </c>
      <c r="E138" s="24"/>
      <c r="F138" s="24"/>
      <c r="G138" s="48">
        <f>ROUND(G111+G116+G127+G137,5)</f>
        <v>17403.02</v>
      </c>
      <c r="H138" s="48">
        <f>ROUND(H111+H116+H127+H137,5)</f>
        <v>18527.46</v>
      </c>
      <c r="I138" s="48">
        <f>ROUND(I111+I116+I127+I137,5)</f>
        <v>8010.77</v>
      </c>
      <c r="J138" s="48">
        <f>ROUND(J116+J127+J137,5)</f>
        <v>16348.6</v>
      </c>
      <c r="K138" s="48">
        <f>ROUND(K111+K116+K127+K137,5)+K128</f>
        <v>22769.95</v>
      </c>
      <c r="L138" s="211">
        <f>ROUND(L111+L116+L127+L137,5)+L128</f>
        <v>22754</v>
      </c>
      <c r="M138" s="23"/>
      <c r="N138" s="77">
        <f>L138+(L138*O109)</f>
        <v>22754</v>
      </c>
    </row>
    <row r="139" spans="1:15" x14ac:dyDescent="0.3">
      <c r="A139" s="24"/>
      <c r="B139" s="24"/>
      <c r="C139" s="24"/>
      <c r="D139" s="24" t="s">
        <v>73</v>
      </c>
      <c r="E139" s="24"/>
      <c r="F139" s="24"/>
      <c r="G139" s="45"/>
      <c r="H139" s="45"/>
      <c r="I139" s="112"/>
      <c r="J139" s="43"/>
      <c r="K139" s="160"/>
      <c r="L139" s="206"/>
      <c r="M139" s="23"/>
    </row>
    <row r="140" spans="1:15" x14ac:dyDescent="0.3">
      <c r="A140" s="24"/>
      <c r="B140" s="24"/>
      <c r="C140" s="24"/>
      <c r="D140" s="24"/>
      <c r="E140" s="24" t="s">
        <v>74</v>
      </c>
      <c r="F140" s="24"/>
      <c r="G140" s="45"/>
      <c r="H140" s="45"/>
      <c r="I140" s="112"/>
      <c r="J140" s="43"/>
      <c r="K140" s="160"/>
      <c r="L140" s="206"/>
      <c r="M140" s="23"/>
    </row>
    <row r="141" spans="1:15" x14ac:dyDescent="0.3">
      <c r="A141" s="24"/>
      <c r="B141" s="24"/>
      <c r="C141" s="24"/>
      <c r="D141" s="24"/>
      <c r="E141" s="24"/>
      <c r="F141" s="24" t="s">
        <v>75</v>
      </c>
      <c r="G141" s="45">
        <v>830.88</v>
      </c>
      <c r="H141" s="45">
        <v>832</v>
      </c>
      <c r="I141" s="48">
        <v>498</v>
      </c>
      <c r="J141" s="43">
        <v>852</v>
      </c>
      <c r="K141" s="48">
        <v>847.68</v>
      </c>
      <c r="L141" s="210">
        <f>K141</f>
        <v>847.68</v>
      </c>
      <c r="M141" s="23"/>
    </row>
    <row r="142" spans="1:15" x14ac:dyDescent="0.3">
      <c r="A142" s="24"/>
      <c r="B142" s="24"/>
      <c r="C142" s="24"/>
      <c r="D142" s="24"/>
      <c r="E142" s="24"/>
      <c r="F142" s="24" t="s">
        <v>76</v>
      </c>
      <c r="G142" s="45">
        <v>25000.080000000002</v>
      </c>
      <c r="H142" s="45">
        <v>25000</v>
      </c>
      <c r="I142" s="48">
        <v>14583</v>
      </c>
      <c r="J142" s="43">
        <v>25000.06</v>
      </c>
      <c r="K142" s="48">
        <v>25000</v>
      </c>
      <c r="L142" s="210">
        <f>K142</f>
        <v>25000</v>
      </c>
      <c r="M142" s="23"/>
    </row>
    <row r="143" spans="1:15" ht="15" thickBot="1" x14ac:dyDescent="0.35">
      <c r="A143" s="24"/>
      <c r="B143" s="24"/>
      <c r="C143" s="24"/>
      <c r="D143" s="24"/>
      <c r="E143" s="24"/>
      <c r="F143" s="24" t="s">
        <v>77</v>
      </c>
      <c r="G143" s="45">
        <v>8319.9599999999991</v>
      </c>
      <c r="H143" s="45">
        <v>8320</v>
      </c>
      <c r="I143" s="48">
        <v>5586</v>
      </c>
      <c r="J143" s="43">
        <v>9118</v>
      </c>
      <c r="K143" s="48">
        <v>8476.76</v>
      </c>
      <c r="L143" s="210">
        <f>K143</f>
        <v>8476.76</v>
      </c>
      <c r="M143" s="23"/>
    </row>
    <row r="144" spans="1:15" ht="15" thickBot="1" x14ac:dyDescent="0.35">
      <c r="A144" s="24"/>
      <c r="B144" s="24"/>
      <c r="C144" s="24"/>
      <c r="D144" s="24"/>
      <c r="E144" s="24"/>
      <c r="F144" s="24" t="s">
        <v>78</v>
      </c>
      <c r="G144" s="45">
        <v>10424.1</v>
      </c>
      <c r="H144" s="45">
        <v>10406</v>
      </c>
      <c r="I144" s="48">
        <v>7200</v>
      </c>
      <c r="J144" s="43">
        <v>10542</v>
      </c>
      <c r="K144" s="48">
        <v>10541.79</v>
      </c>
      <c r="L144" s="210">
        <f>K144</f>
        <v>10541.79</v>
      </c>
      <c r="M144" s="23"/>
      <c r="N144" s="178" t="s">
        <v>316</v>
      </c>
      <c r="O144" s="128">
        <v>0.02</v>
      </c>
    </row>
    <row r="145" spans="1:15" ht="15" thickBot="1" x14ac:dyDescent="0.35">
      <c r="A145" s="24"/>
      <c r="B145" s="24"/>
      <c r="C145" s="24"/>
      <c r="D145" s="24"/>
      <c r="E145" s="24"/>
      <c r="F145" s="24" t="s">
        <v>79</v>
      </c>
      <c r="G145" s="46">
        <v>64560</v>
      </c>
      <c r="H145" s="46">
        <v>64560</v>
      </c>
      <c r="I145" s="48">
        <v>38647</v>
      </c>
      <c r="J145" s="43">
        <v>66252.290000000008</v>
      </c>
      <c r="K145" s="48">
        <v>66252.350000000006</v>
      </c>
      <c r="L145" s="210">
        <f>K145</f>
        <v>66252.350000000006</v>
      </c>
      <c r="M145" s="23"/>
    </row>
    <row r="146" spans="1:15" x14ac:dyDescent="0.3">
      <c r="A146" s="24"/>
      <c r="B146" s="24"/>
      <c r="C146" s="24"/>
      <c r="D146" s="24"/>
      <c r="E146" s="24"/>
      <c r="F146" s="24" t="s">
        <v>176</v>
      </c>
      <c r="G146" s="52"/>
      <c r="H146" s="52"/>
      <c r="I146" s="48">
        <v>13000</v>
      </c>
      <c r="J146" s="43">
        <v>13000</v>
      </c>
      <c r="K146" s="48">
        <v>13000</v>
      </c>
      <c r="L146" s="210"/>
      <c r="M146" s="23"/>
    </row>
    <row r="147" spans="1:15" ht="15" thickBot="1" x14ac:dyDescent="0.35">
      <c r="A147" s="24"/>
      <c r="B147" s="24"/>
      <c r="C147" s="24"/>
      <c r="D147" s="24"/>
      <c r="E147" s="24"/>
      <c r="F147" s="24" t="s">
        <v>177</v>
      </c>
      <c r="G147" s="52"/>
      <c r="H147" s="52"/>
      <c r="I147" s="50">
        <v>788.8</v>
      </c>
      <c r="J147" s="43">
        <v>788.8</v>
      </c>
      <c r="K147" s="48">
        <v>1000</v>
      </c>
      <c r="L147" s="210"/>
      <c r="M147" s="23"/>
    </row>
    <row r="148" spans="1:15" ht="48.6" x14ac:dyDescent="0.3">
      <c r="A148" s="24"/>
      <c r="B148" s="24"/>
      <c r="C148" s="24"/>
      <c r="D148" s="24"/>
      <c r="E148" s="24" t="s">
        <v>80</v>
      </c>
      <c r="F148" s="24"/>
      <c r="G148" s="45">
        <v>109135.02</v>
      </c>
      <c r="H148" s="45">
        <v>109118</v>
      </c>
      <c r="I148" s="48">
        <f>ROUND(SUM(I140:I147),5)</f>
        <v>80302.8</v>
      </c>
      <c r="J148" s="48">
        <f>ROUND(SUM(J140:J147),5)</f>
        <v>125553.15</v>
      </c>
      <c r="K148" s="48">
        <f>ROUND(SUM(K140:K147),5)</f>
        <v>125118.58</v>
      </c>
      <c r="L148" s="211">
        <f>ROUND(SUM(L140:L147),5)</f>
        <v>111118.58</v>
      </c>
      <c r="M148" s="23" t="s">
        <v>355</v>
      </c>
    </row>
    <row r="149" spans="1:15" x14ac:dyDescent="0.3">
      <c r="A149" s="24"/>
      <c r="B149" s="24"/>
      <c r="C149" s="24"/>
      <c r="D149" s="24"/>
      <c r="E149" s="24" t="s">
        <v>81</v>
      </c>
      <c r="F149" s="24"/>
      <c r="G149" s="45"/>
      <c r="H149" s="45"/>
      <c r="I149" s="48"/>
      <c r="J149" s="43"/>
      <c r="K149" s="48"/>
      <c r="L149" s="206"/>
      <c r="M149" s="23"/>
    </row>
    <row r="150" spans="1:15" x14ac:dyDescent="0.3">
      <c r="A150" s="24"/>
      <c r="B150" s="24"/>
      <c r="C150" s="24"/>
      <c r="D150" s="24"/>
      <c r="E150" s="24"/>
      <c r="F150" s="24" t="s">
        <v>82</v>
      </c>
      <c r="G150" s="45">
        <v>442.65</v>
      </c>
      <c r="H150" s="45">
        <v>443</v>
      </c>
      <c r="I150" s="48">
        <v>265</v>
      </c>
      <c r="J150" s="43">
        <v>455</v>
      </c>
      <c r="K150" s="48">
        <v>455.05</v>
      </c>
      <c r="L150" s="210">
        <f t="shared" ref="L150:L156" si="0">K150</f>
        <v>455.05</v>
      </c>
      <c r="M150" s="23"/>
    </row>
    <row r="151" spans="1:15" x14ac:dyDescent="0.3">
      <c r="A151" s="24"/>
      <c r="B151" s="24"/>
      <c r="C151" s="24"/>
      <c r="D151" s="24"/>
      <c r="E151" s="24"/>
      <c r="F151" s="24" t="s">
        <v>83</v>
      </c>
      <c r="G151" s="45">
        <v>16000.08</v>
      </c>
      <c r="H151" s="45">
        <v>16000</v>
      </c>
      <c r="I151" s="48">
        <v>9500</v>
      </c>
      <c r="J151" s="43">
        <v>16167</v>
      </c>
      <c r="K151" s="48">
        <v>16000</v>
      </c>
      <c r="L151" s="210">
        <f t="shared" si="0"/>
        <v>16000</v>
      </c>
      <c r="M151" s="23"/>
    </row>
    <row r="152" spans="1:15" x14ac:dyDescent="0.3">
      <c r="A152" s="24"/>
      <c r="B152" s="24"/>
      <c r="C152" s="24"/>
      <c r="D152" s="24"/>
      <c r="E152" s="24"/>
      <c r="F152" s="24" t="s">
        <v>84</v>
      </c>
      <c r="G152" s="45">
        <v>9508.19</v>
      </c>
      <c r="H152" s="45">
        <v>8940</v>
      </c>
      <c r="I152" s="48">
        <v>5943</v>
      </c>
      <c r="J152" s="43">
        <v>10041</v>
      </c>
      <c r="K152" s="48">
        <v>9836</v>
      </c>
      <c r="L152" s="210">
        <f t="shared" si="0"/>
        <v>9836</v>
      </c>
      <c r="M152" s="23"/>
    </row>
    <row r="153" spans="1:15" x14ac:dyDescent="0.3">
      <c r="A153" s="24"/>
      <c r="B153" s="24"/>
      <c r="C153" s="24"/>
      <c r="D153" s="24"/>
      <c r="E153" s="24"/>
      <c r="F153" s="24" t="s">
        <v>85</v>
      </c>
      <c r="G153" s="45">
        <v>31649.040000000001</v>
      </c>
      <c r="H153" s="45">
        <v>31649</v>
      </c>
      <c r="I153" s="48">
        <v>19051</v>
      </c>
      <c r="J153" s="43">
        <v>32778</v>
      </c>
      <c r="K153" s="48">
        <v>32944.44</v>
      </c>
      <c r="L153" s="210">
        <f t="shared" si="0"/>
        <v>32944.44</v>
      </c>
      <c r="M153" s="23"/>
    </row>
    <row r="154" spans="1:15" x14ac:dyDescent="0.3">
      <c r="A154" s="24"/>
      <c r="B154" s="24"/>
      <c r="C154" s="24"/>
      <c r="D154" s="24"/>
      <c r="E154" s="24"/>
      <c r="F154" s="24" t="s">
        <v>77</v>
      </c>
      <c r="G154" s="45">
        <v>4425.96</v>
      </c>
      <c r="H154" s="45">
        <v>4426</v>
      </c>
      <c r="I154" s="48">
        <v>2981</v>
      </c>
      <c r="J154" s="43">
        <v>4875</v>
      </c>
      <c r="K154" s="48">
        <v>4546.51</v>
      </c>
      <c r="L154" s="210">
        <f t="shared" si="0"/>
        <v>4546.51</v>
      </c>
      <c r="M154" s="23"/>
    </row>
    <row r="155" spans="1:15" ht="15" thickBot="1" x14ac:dyDescent="0.35">
      <c r="A155" s="24"/>
      <c r="B155" s="24"/>
      <c r="C155" s="24"/>
      <c r="D155" s="24"/>
      <c r="E155" s="24"/>
      <c r="F155" s="24" t="s">
        <v>78</v>
      </c>
      <c r="G155" s="52">
        <v>2917.47</v>
      </c>
      <c r="H155" s="52">
        <v>3000</v>
      </c>
      <c r="I155" s="48">
        <v>1073.67</v>
      </c>
      <c r="J155" s="43">
        <v>2324</v>
      </c>
      <c r="K155" s="48">
        <v>3000</v>
      </c>
      <c r="L155" s="210">
        <f t="shared" si="0"/>
        <v>3000</v>
      </c>
      <c r="M155" s="23"/>
    </row>
    <row r="156" spans="1:15" ht="15" thickBot="1" x14ac:dyDescent="0.35">
      <c r="A156" s="24"/>
      <c r="B156" s="24"/>
      <c r="C156" s="24"/>
      <c r="D156" s="24"/>
      <c r="E156" s="24" t="s">
        <v>86</v>
      </c>
      <c r="F156" s="24"/>
      <c r="G156" s="59">
        <v>64943.39</v>
      </c>
      <c r="H156" s="59">
        <v>64458</v>
      </c>
      <c r="I156" s="60">
        <f>ROUND(SUM(I149:I155),5)</f>
        <v>38813.67</v>
      </c>
      <c r="J156" s="60">
        <f>ROUND(SUM(J149:J155),5)</f>
        <v>66640</v>
      </c>
      <c r="K156" s="48">
        <f>ROUND(SUM(K149:K155),5)</f>
        <v>66782</v>
      </c>
      <c r="L156" s="210">
        <f t="shared" si="0"/>
        <v>66782</v>
      </c>
      <c r="M156" s="23"/>
    </row>
    <row r="157" spans="1:15" ht="15" thickBot="1" x14ac:dyDescent="0.35">
      <c r="A157" s="24"/>
      <c r="B157" s="24"/>
      <c r="C157" s="24"/>
      <c r="D157" s="24" t="s">
        <v>87</v>
      </c>
      <c r="E157" s="24"/>
      <c r="F157" s="24"/>
      <c r="G157" s="45">
        <v>174078.41</v>
      </c>
      <c r="H157" s="45">
        <v>173576</v>
      </c>
      <c r="I157" s="48">
        <f>ROUND(I139+I148+I156,5)</f>
        <v>119116.47</v>
      </c>
      <c r="J157" s="48">
        <f>ROUND(J139+J148+J156,5)</f>
        <v>192193.15</v>
      </c>
      <c r="K157" s="48">
        <f>ROUND(K139+K148+K156,5)</f>
        <v>191900.58</v>
      </c>
      <c r="L157" s="211">
        <f>ROUND(L139+L148+L156,5)</f>
        <v>177900.58</v>
      </c>
      <c r="M157" s="23"/>
      <c r="N157" s="43">
        <f>L157</f>
        <v>177900.58</v>
      </c>
    </row>
    <row r="158" spans="1:15" ht="15" thickBot="1" x14ac:dyDescent="0.35">
      <c r="A158" s="24"/>
      <c r="B158" s="24"/>
      <c r="C158" s="24"/>
      <c r="D158" s="121"/>
      <c r="E158" s="122"/>
      <c r="F158" s="231" t="s">
        <v>323</v>
      </c>
      <c r="G158" s="232"/>
      <c r="H158" s="232"/>
      <c r="I158" s="203"/>
      <c r="J158" s="203"/>
      <c r="K158" s="181"/>
      <c r="L158" s="213"/>
      <c r="M158" s="233" t="s">
        <v>233</v>
      </c>
      <c r="N158" s="234"/>
      <c r="O158" s="235" t="s">
        <v>319</v>
      </c>
    </row>
    <row r="159" spans="1:15" ht="15" thickBot="1" x14ac:dyDescent="0.35">
      <c r="A159" s="24"/>
      <c r="B159" s="24"/>
      <c r="C159" s="24"/>
      <c r="D159" s="227"/>
      <c r="E159" s="227"/>
      <c r="F159" s="121" t="s">
        <v>349</v>
      </c>
      <c r="G159" s="123"/>
      <c r="H159" s="123"/>
      <c r="I159" s="124"/>
      <c r="J159" s="124"/>
      <c r="K159" s="124"/>
      <c r="L159" s="217"/>
      <c r="M159" s="184" t="s">
        <v>350</v>
      </c>
      <c r="N159" s="127"/>
      <c r="O159" s="236" t="s">
        <v>350</v>
      </c>
    </row>
    <row r="160" spans="1:15" x14ac:dyDescent="0.3">
      <c r="A160" s="24"/>
      <c r="B160" s="24"/>
      <c r="C160" s="24"/>
      <c r="D160" s="227"/>
      <c r="E160" s="227"/>
      <c r="F160" s="227"/>
      <c r="G160" s="228"/>
      <c r="H160" s="228"/>
      <c r="I160" s="181"/>
      <c r="J160" s="181"/>
      <c r="K160" s="181"/>
      <c r="L160" s="210"/>
      <c r="M160" s="229"/>
      <c r="N160" s="202"/>
      <c r="O160" s="230"/>
    </row>
    <row r="161" spans="1:15" x14ac:dyDescent="0.3">
      <c r="A161" s="24"/>
      <c r="B161" s="24"/>
      <c r="C161" s="24"/>
      <c r="D161" s="24" t="s">
        <v>88</v>
      </c>
      <c r="E161" s="24"/>
      <c r="F161" s="24"/>
      <c r="G161" s="45"/>
      <c r="H161" s="45"/>
      <c r="I161" s="112"/>
      <c r="J161" s="43"/>
      <c r="K161" s="160"/>
      <c r="L161" s="206"/>
      <c r="M161" s="23"/>
    </row>
    <row r="162" spans="1:15" x14ac:dyDescent="0.3">
      <c r="A162" s="24"/>
      <c r="B162" s="24"/>
      <c r="C162" s="24"/>
      <c r="D162" s="24"/>
      <c r="E162" s="24" t="s">
        <v>89</v>
      </c>
      <c r="F162" s="24"/>
      <c r="G162" s="45"/>
      <c r="H162" s="45"/>
      <c r="I162" s="112"/>
      <c r="J162" s="43"/>
      <c r="K162" s="160"/>
      <c r="L162" s="206"/>
      <c r="M162" s="23"/>
    </row>
    <row r="163" spans="1:15" ht="15" thickBot="1" x14ac:dyDescent="0.35">
      <c r="A163" s="24"/>
      <c r="B163" s="24"/>
      <c r="C163" s="24"/>
      <c r="D163" s="24"/>
      <c r="E163" s="24"/>
      <c r="F163" s="24" t="s">
        <v>90</v>
      </c>
      <c r="G163" s="46">
        <v>6165.39</v>
      </c>
      <c r="H163" s="46">
        <v>7000</v>
      </c>
      <c r="I163" s="50">
        <v>3990</v>
      </c>
      <c r="J163" s="43">
        <v>7082</v>
      </c>
      <c r="K163" s="48">
        <v>7420</v>
      </c>
      <c r="L163" s="210">
        <f t="shared" ref="L163:L171" si="1">K163</f>
        <v>7420</v>
      </c>
      <c r="M163" s="23"/>
    </row>
    <row r="164" spans="1:15" x14ac:dyDescent="0.3">
      <c r="A164" s="24"/>
      <c r="B164" s="24"/>
      <c r="C164" s="24"/>
      <c r="D164" s="24"/>
      <c r="E164" s="24" t="s">
        <v>91</v>
      </c>
      <c r="F164" s="24"/>
      <c r="G164" s="45">
        <v>6165.39</v>
      </c>
      <c r="H164" s="45">
        <v>7000</v>
      </c>
      <c r="I164" s="48">
        <f>ROUND(SUM(I162:I163),5)</f>
        <v>3990</v>
      </c>
      <c r="J164" s="48">
        <f>ROUND(SUM(J162:J163),5)</f>
        <v>7082</v>
      </c>
      <c r="K164" s="48">
        <f>ROUND(SUM(K162:K163),5)</f>
        <v>7420</v>
      </c>
      <c r="L164" s="210">
        <f t="shared" si="1"/>
        <v>7420</v>
      </c>
      <c r="M164" s="23"/>
    </row>
    <row r="165" spans="1:15" x14ac:dyDescent="0.3">
      <c r="A165" s="24"/>
      <c r="B165" s="24"/>
      <c r="C165" s="24"/>
      <c r="D165" s="24"/>
      <c r="E165" s="24" t="s">
        <v>92</v>
      </c>
      <c r="F165" s="24"/>
      <c r="G165" s="45"/>
      <c r="H165" s="45"/>
      <c r="I165" s="48"/>
      <c r="J165" s="43"/>
      <c r="K165" s="48"/>
      <c r="L165" s="210">
        <f t="shared" si="1"/>
        <v>0</v>
      </c>
      <c r="M165" s="23"/>
    </row>
    <row r="166" spans="1:15" x14ac:dyDescent="0.3">
      <c r="A166" s="24"/>
      <c r="B166" s="24"/>
      <c r="C166" s="24"/>
      <c r="D166" s="24"/>
      <c r="E166" s="24"/>
      <c r="F166" s="24" t="s">
        <v>93</v>
      </c>
      <c r="G166" s="45">
        <v>0</v>
      </c>
      <c r="H166" s="45">
        <v>4400</v>
      </c>
      <c r="I166" s="48">
        <v>1122</v>
      </c>
      <c r="J166" s="43">
        <v>4488</v>
      </c>
      <c r="K166" s="48">
        <v>4488</v>
      </c>
      <c r="L166" s="210">
        <f t="shared" si="1"/>
        <v>4488</v>
      </c>
      <c r="M166" s="23"/>
      <c r="O166">
        <v>0.02</v>
      </c>
    </row>
    <row r="167" spans="1:15" ht="15" thickBot="1" x14ac:dyDescent="0.35">
      <c r="A167" s="24"/>
      <c r="B167" s="24"/>
      <c r="C167" s="24"/>
      <c r="D167" s="24"/>
      <c r="E167" s="24"/>
      <c r="F167" s="24" t="s">
        <v>94</v>
      </c>
      <c r="G167" s="46">
        <v>46831.15</v>
      </c>
      <c r="H167" s="46">
        <v>44000</v>
      </c>
      <c r="I167" s="50">
        <v>26180</v>
      </c>
      <c r="J167" s="43">
        <v>44880</v>
      </c>
      <c r="K167" s="48">
        <v>44880</v>
      </c>
      <c r="L167" s="210">
        <f t="shared" si="1"/>
        <v>44880</v>
      </c>
      <c r="M167" s="23"/>
    </row>
    <row r="168" spans="1:15" x14ac:dyDescent="0.3">
      <c r="A168" s="24"/>
      <c r="B168" s="24"/>
      <c r="C168" s="24"/>
      <c r="D168" s="24"/>
      <c r="E168" s="24" t="s">
        <v>95</v>
      </c>
      <c r="F168" s="24"/>
      <c r="G168" s="45">
        <v>46831.15</v>
      </c>
      <c r="H168" s="45">
        <v>48400</v>
      </c>
      <c r="I168" s="48">
        <f>ROUND(SUM(I165:I167),5)</f>
        <v>27302</v>
      </c>
      <c r="J168" s="48">
        <f>ROUND(SUM(J165:J167),5)</f>
        <v>49368</v>
      </c>
      <c r="K168" s="48">
        <f>ROUND(SUM(K165:K167),5)</f>
        <v>49368</v>
      </c>
      <c r="L168" s="210">
        <f t="shared" si="1"/>
        <v>49368</v>
      </c>
      <c r="M168" s="23"/>
    </row>
    <row r="169" spans="1:15" x14ac:dyDescent="0.3">
      <c r="A169" s="24"/>
      <c r="B169" s="24"/>
      <c r="C169" s="24"/>
      <c r="D169" s="24"/>
      <c r="E169" s="24" t="s">
        <v>96</v>
      </c>
      <c r="F169" s="24"/>
      <c r="G169" s="45"/>
      <c r="H169" s="45"/>
      <c r="I169" s="48"/>
      <c r="J169" s="43"/>
      <c r="K169" s="48"/>
      <c r="L169" s="210">
        <f t="shared" si="1"/>
        <v>0</v>
      </c>
      <c r="M169" s="23"/>
    </row>
    <row r="170" spans="1:15" ht="15" thickBot="1" x14ac:dyDescent="0.35">
      <c r="A170" s="24"/>
      <c r="B170" s="24"/>
      <c r="C170" s="24"/>
      <c r="D170" s="24"/>
      <c r="E170" s="24"/>
      <c r="F170" s="24" t="s">
        <v>97</v>
      </c>
      <c r="G170" s="46">
        <v>9540</v>
      </c>
      <c r="H170" s="46">
        <v>11700</v>
      </c>
      <c r="I170" s="50">
        <v>7787</v>
      </c>
      <c r="J170" s="43">
        <v>13475</v>
      </c>
      <c r="K170" s="48">
        <v>13650</v>
      </c>
      <c r="L170" s="210">
        <f t="shared" si="1"/>
        <v>13650</v>
      </c>
      <c r="M170" s="23"/>
    </row>
    <row r="171" spans="1:15" x14ac:dyDescent="0.3">
      <c r="A171" s="24"/>
      <c r="B171" s="24"/>
      <c r="C171" s="24"/>
      <c r="D171" s="24"/>
      <c r="E171" s="24" t="s">
        <v>98</v>
      </c>
      <c r="F171" s="24"/>
      <c r="G171" s="45">
        <v>9540</v>
      </c>
      <c r="H171" s="45">
        <v>11700</v>
      </c>
      <c r="I171" s="48">
        <f>ROUND(SUM(I169:I170),5)</f>
        <v>7787</v>
      </c>
      <c r="J171" s="48">
        <f>ROUND(SUM(J169:J170),5)</f>
        <v>13475</v>
      </c>
      <c r="K171" s="48">
        <f>ROUND(SUM(K169:K170),5)</f>
        <v>13650</v>
      </c>
      <c r="L171" s="210">
        <f t="shared" si="1"/>
        <v>13650</v>
      </c>
      <c r="M171" s="23"/>
    </row>
    <row r="172" spans="1:15" x14ac:dyDescent="0.3">
      <c r="A172" s="24"/>
      <c r="B172" s="24"/>
      <c r="C172" s="24"/>
      <c r="D172" s="24"/>
      <c r="E172" s="24" t="s">
        <v>99</v>
      </c>
      <c r="F172" s="24"/>
      <c r="G172" s="45"/>
      <c r="H172" s="45"/>
      <c r="I172" s="48"/>
      <c r="J172" s="43"/>
      <c r="K172" s="48"/>
      <c r="L172" s="206"/>
      <c r="M172" s="23"/>
    </row>
    <row r="173" spans="1:15" ht="15" thickBot="1" x14ac:dyDescent="0.35">
      <c r="A173" s="24"/>
      <c r="B173" s="24"/>
      <c r="C173" s="24"/>
      <c r="D173" s="24"/>
      <c r="E173" s="24"/>
      <c r="F173" s="24" t="s">
        <v>100</v>
      </c>
      <c r="G173" s="46">
        <v>4728.75</v>
      </c>
      <c r="H173" s="46">
        <v>4728.75</v>
      </c>
      <c r="I173" s="112"/>
      <c r="J173" s="43"/>
      <c r="K173" s="160"/>
      <c r="L173" s="206"/>
      <c r="M173" s="23"/>
    </row>
    <row r="174" spans="1:15" x14ac:dyDescent="0.3">
      <c r="A174" s="24"/>
      <c r="B174" s="24"/>
      <c r="C174" s="24"/>
      <c r="D174" s="24"/>
      <c r="E174" s="24" t="s">
        <v>101</v>
      </c>
      <c r="F174" s="24"/>
      <c r="G174" s="45">
        <v>4728.75</v>
      </c>
      <c r="H174" s="45">
        <v>4728.75</v>
      </c>
      <c r="I174" s="112"/>
      <c r="J174" s="43"/>
      <c r="K174" s="160"/>
      <c r="L174" s="206"/>
      <c r="M174" s="23"/>
    </row>
    <row r="175" spans="1:15" x14ac:dyDescent="0.3">
      <c r="A175" s="24"/>
      <c r="B175" s="24"/>
      <c r="C175" s="24"/>
      <c r="D175" s="24"/>
      <c r="E175" s="24" t="s">
        <v>102</v>
      </c>
      <c r="F175" s="24"/>
      <c r="G175" s="45"/>
      <c r="H175" s="45"/>
      <c r="I175" s="112"/>
      <c r="J175" s="43"/>
      <c r="K175" s="160"/>
      <c r="L175" s="206"/>
      <c r="M175" s="23"/>
    </row>
    <row r="176" spans="1:15" x14ac:dyDescent="0.3">
      <c r="A176" s="24"/>
      <c r="B176" s="24"/>
      <c r="C176" s="24"/>
      <c r="D176" s="24"/>
      <c r="E176" s="24"/>
      <c r="F176" s="24" t="s">
        <v>103</v>
      </c>
      <c r="G176" s="45">
        <v>3920.76</v>
      </c>
      <c r="H176" s="45">
        <v>4005.55</v>
      </c>
      <c r="I176" s="48">
        <v>3071</v>
      </c>
      <c r="J176" s="43">
        <v>5071</v>
      </c>
      <c r="K176" s="48">
        <v>4800</v>
      </c>
      <c r="L176" s="210">
        <f>K176</f>
        <v>4800</v>
      </c>
      <c r="M176" s="23"/>
    </row>
    <row r="177" spans="1:15" ht="15" thickBot="1" x14ac:dyDescent="0.35">
      <c r="A177" s="24"/>
      <c r="B177" s="24"/>
      <c r="C177" s="24"/>
      <c r="D177" s="24"/>
      <c r="E177" s="24"/>
      <c r="F177" s="24" t="s">
        <v>104</v>
      </c>
      <c r="G177" s="46">
        <v>39900.559999999998</v>
      </c>
      <c r="H177" s="46">
        <v>39900.699999999997</v>
      </c>
      <c r="I177" s="48">
        <v>28000</v>
      </c>
      <c r="J177" s="43">
        <v>48000</v>
      </c>
      <c r="K177" s="48">
        <v>48000</v>
      </c>
      <c r="L177" s="210">
        <f>K177</f>
        <v>48000</v>
      </c>
      <c r="M177" s="23"/>
    </row>
    <row r="178" spans="1:15" ht="15" thickBot="1" x14ac:dyDescent="0.35">
      <c r="A178" s="24"/>
      <c r="B178" s="24"/>
      <c r="C178" s="24"/>
      <c r="D178" s="24"/>
      <c r="E178" s="24" t="s">
        <v>105</v>
      </c>
      <c r="F178" s="24"/>
      <c r="G178" s="45">
        <v>43821.32</v>
      </c>
      <c r="H178" s="45">
        <v>43906.25</v>
      </c>
      <c r="I178" s="62">
        <f>ROUND(SUM(I172:I177),5)</f>
        <v>31071</v>
      </c>
      <c r="J178" s="62">
        <f>ROUND(SUM(J172:J177),5)</f>
        <v>53071</v>
      </c>
      <c r="K178" s="48">
        <f>ROUND(SUM(K172:K177),5)</f>
        <v>52800</v>
      </c>
      <c r="L178" s="218">
        <f>ROUND(SUM(L172:L177),5)</f>
        <v>52800</v>
      </c>
      <c r="M178" s="23"/>
    </row>
    <row r="179" spans="1:15" ht="25.2" thickBot="1" x14ac:dyDescent="0.35">
      <c r="A179" s="24"/>
      <c r="B179" s="24"/>
      <c r="C179" s="24"/>
      <c r="D179" s="121"/>
      <c r="E179" s="122" t="s">
        <v>106</v>
      </c>
      <c r="F179" s="122"/>
      <c r="G179" s="123">
        <v>4400</v>
      </c>
      <c r="H179" s="123">
        <v>4543</v>
      </c>
      <c r="I179" s="129"/>
      <c r="J179" s="129"/>
      <c r="K179" s="182"/>
      <c r="L179" s="217"/>
      <c r="M179" s="126" t="s">
        <v>234</v>
      </c>
      <c r="N179" s="130"/>
      <c r="O179" s="41" t="s">
        <v>324</v>
      </c>
    </row>
    <row r="180" spans="1:15" x14ac:dyDescent="0.3">
      <c r="A180" s="24"/>
      <c r="B180" s="24"/>
      <c r="C180" s="24"/>
      <c r="D180" s="24" t="s">
        <v>107</v>
      </c>
      <c r="E180" s="24"/>
      <c r="F180" s="24"/>
      <c r="G180" s="45">
        <v>115486.61</v>
      </c>
      <c r="H180" s="45">
        <v>120278</v>
      </c>
      <c r="I180" s="48">
        <f>ROUND(I161+I164+I168+I171+I178,5)</f>
        <v>70150</v>
      </c>
      <c r="J180" s="48">
        <f>ROUND(J161+J164+J168+J171+J178,5)</f>
        <v>122996</v>
      </c>
      <c r="K180" s="48">
        <f>ROUND(K161+K164+K168+K171+K178,5)</f>
        <v>123238</v>
      </c>
      <c r="L180" s="211">
        <f>ROUND(L161+L164+L168+L171+L178,5)+L179</f>
        <v>123238</v>
      </c>
      <c r="M180" s="23"/>
      <c r="N180" s="77">
        <f>L180</f>
        <v>123238</v>
      </c>
    </row>
    <row r="181" spans="1:15" x14ac:dyDescent="0.3">
      <c r="A181" s="24"/>
      <c r="B181" s="24"/>
      <c r="C181" s="24"/>
      <c r="D181" s="24" t="s">
        <v>108</v>
      </c>
      <c r="E181" s="24"/>
      <c r="F181" s="24"/>
      <c r="G181" s="45"/>
      <c r="H181" s="45"/>
      <c r="I181" s="48"/>
      <c r="J181" s="43"/>
      <c r="K181" s="48"/>
      <c r="L181" s="206"/>
      <c r="M181" s="23"/>
      <c r="O181" s="156"/>
    </row>
    <row r="182" spans="1:15" x14ac:dyDescent="0.3">
      <c r="A182" s="24"/>
      <c r="B182" s="24"/>
      <c r="C182" s="24"/>
      <c r="D182" s="24"/>
      <c r="E182" s="24" t="s">
        <v>109</v>
      </c>
      <c r="F182" s="24"/>
      <c r="G182" s="45">
        <v>228.95</v>
      </c>
      <c r="H182" s="45">
        <v>0</v>
      </c>
      <c r="I182" s="48">
        <v>234</v>
      </c>
      <c r="J182" s="43">
        <v>318</v>
      </c>
      <c r="K182" s="48">
        <v>200</v>
      </c>
      <c r="L182" s="210">
        <f>K182</f>
        <v>200</v>
      </c>
      <c r="M182" s="23"/>
      <c r="N182" s="43">
        <f>L182</f>
        <v>200</v>
      </c>
      <c r="O182" s="156"/>
    </row>
    <row r="183" spans="1:15" x14ac:dyDescent="0.3">
      <c r="A183" s="24"/>
      <c r="B183" s="24"/>
      <c r="C183" s="24"/>
      <c r="D183" s="24"/>
      <c r="E183" s="24" t="s">
        <v>110</v>
      </c>
      <c r="F183" s="24"/>
      <c r="G183" s="45">
        <v>7697.84</v>
      </c>
      <c r="H183" s="45">
        <v>8237</v>
      </c>
      <c r="I183" s="48">
        <v>4356</v>
      </c>
      <c r="J183" s="43">
        <v>7988</v>
      </c>
      <c r="K183" s="48">
        <v>8717</v>
      </c>
      <c r="L183" s="210">
        <f>K183</f>
        <v>8717</v>
      </c>
      <c r="M183" s="23" t="s">
        <v>270</v>
      </c>
      <c r="N183" s="77">
        <f>(K183/K180)*N180</f>
        <v>8717</v>
      </c>
      <c r="O183" s="156" t="s">
        <v>320</v>
      </c>
    </row>
    <row r="184" spans="1:15" ht="24.6" x14ac:dyDescent="0.3">
      <c r="A184" s="24"/>
      <c r="B184" s="24"/>
      <c r="C184" s="24"/>
      <c r="D184" s="24"/>
      <c r="E184" s="24" t="s">
        <v>111</v>
      </c>
      <c r="F184" s="24"/>
      <c r="G184" s="45">
        <v>10293.290000000001</v>
      </c>
      <c r="H184" s="45">
        <v>10840</v>
      </c>
      <c r="I184" s="48">
        <v>10610</v>
      </c>
      <c r="J184" s="43">
        <v>18319</v>
      </c>
      <c r="K184" s="48">
        <v>18500</v>
      </c>
      <c r="L184" s="210">
        <f>K184+(K184*0.083)</f>
        <v>20035.5</v>
      </c>
      <c r="M184" s="23" t="s">
        <v>317</v>
      </c>
      <c r="N184" s="43">
        <f>L184+(L184*0.083)</f>
        <v>21698.446499999998</v>
      </c>
      <c r="O184" s="156" t="s">
        <v>321</v>
      </c>
    </row>
    <row r="185" spans="1:15" ht="15" thickBot="1" x14ac:dyDescent="0.35">
      <c r="A185" s="24"/>
      <c r="B185" s="24"/>
      <c r="C185" s="24"/>
      <c r="D185" s="24"/>
      <c r="E185" s="24" t="s">
        <v>112</v>
      </c>
      <c r="F185" s="24"/>
      <c r="G185" s="46">
        <v>1586.08</v>
      </c>
      <c r="H185" s="46">
        <v>2170</v>
      </c>
      <c r="I185" s="50">
        <v>1213</v>
      </c>
      <c r="J185" s="43">
        <v>2172</v>
      </c>
      <c r="K185" s="48">
        <v>2300</v>
      </c>
      <c r="L185" s="219">
        <f>K185</f>
        <v>2300</v>
      </c>
      <c r="M185" s="23"/>
      <c r="N185" s="47">
        <f>L185</f>
        <v>2300</v>
      </c>
    </row>
    <row r="186" spans="1:15" x14ac:dyDescent="0.3">
      <c r="A186" s="24"/>
      <c r="B186" s="24"/>
      <c r="C186" s="24"/>
      <c r="D186" s="24" t="s">
        <v>113</v>
      </c>
      <c r="E186" s="24"/>
      <c r="F186" s="24"/>
      <c r="G186" s="45">
        <v>19806.16</v>
      </c>
      <c r="H186" s="45">
        <v>21247</v>
      </c>
      <c r="I186" s="48">
        <f>ROUND(SUM(I181:I185),5)</f>
        <v>16413</v>
      </c>
      <c r="J186" s="48">
        <f>ROUND(SUM(J181:J185),5)</f>
        <v>28797</v>
      </c>
      <c r="K186" s="48">
        <f>ROUND(SUM(K181:K185),5)</f>
        <v>29717</v>
      </c>
      <c r="L186" s="211">
        <f>ROUND(SUM(L181:L185),5)</f>
        <v>31252.5</v>
      </c>
      <c r="M186" s="23"/>
      <c r="N186" s="48">
        <f>ROUND(SUM(N181:N185),5)</f>
        <v>32915.446499999998</v>
      </c>
    </row>
    <row r="187" spans="1:15" x14ac:dyDescent="0.3">
      <c r="A187" s="24"/>
      <c r="B187" s="24"/>
      <c r="C187" s="24"/>
      <c r="D187" s="24" t="s">
        <v>114</v>
      </c>
      <c r="E187" s="24"/>
      <c r="F187" s="24"/>
      <c r="G187" s="45"/>
      <c r="H187" s="45"/>
      <c r="I187" s="112"/>
      <c r="J187" s="43"/>
      <c r="K187" s="160"/>
      <c r="L187" s="206"/>
      <c r="M187" s="23"/>
    </row>
    <row r="188" spans="1:15" x14ac:dyDescent="0.3">
      <c r="A188" s="24"/>
      <c r="B188" s="24"/>
      <c r="C188" s="24"/>
      <c r="D188" s="24"/>
      <c r="E188" s="24" t="s">
        <v>115</v>
      </c>
      <c r="F188" s="24"/>
      <c r="G188" s="45">
        <v>7800</v>
      </c>
      <c r="H188" s="45">
        <v>9000</v>
      </c>
      <c r="I188" s="48">
        <v>4550</v>
      </c>
      <c r="J188" s="43">
        <v>7800</v>
      </c>
      <c r="K188" s="48">
        <v>7800</v>
      </c>
      <c r="L188" s="210">
        <f>K188</f>
        <v>7800</v>
      </c>
      <c r="M188" s="23"/>
      <c r="N188" s="43">
        <f>L188</f>
        <v>7800</v>
      </c>
    </row>
    <row r="189" spans="1:15" x14ac:dyDescent="0.3">
      <c r="A189" s="24"/>
      <c r="B189" s="24"/>
      <c r="C189" s="24"/>
      <c r="D189" s="24"/>
      <c r="E189" s="24" t="s">
        <v>116</v>
      </c>
      <c r="F189" s="24"/>
      <c r="G189" s="45">
        <v>0</v>
      </c>
      <c r="H189" s="45">
        <v>500</v>
      </c>
      <c r="I189" s="48">
        <v>0</v>
      </c>
      <c r="J189" s="43">
        <v>208</v>
      </c>
      <c r="K189" s="48">
        <v>500</v>
      </c>
      <c r="L189" s="206">
        <v>200</v>
      </c>
      <c r="M189" s="23" t="s">
        <v>273</v>
      </c>
      <c r="N189" s="43">
        <f t="shared" ref="N189:N200" si="2">L189</f>
        <v>200</v>
      </c>
    </row>
    <row r="190" spans="1:15" x14ac:dyDescent="0.3">
      <c r="A190" s="24"/>
      <c r="B190" s="24"/>
      <c r="C190" s="24"/>
      <c r="D190" s="24"/>
      <c r="E190" s="24" t="s">
        <v>117</v>
      </c>
      <c r="F190" s="24"/>
      <c r="G190" s="45">
        <v>115.45</v>
      </c>
      <c r="H190" s="45">
        <v>0</v>
      </c>
      <c r="I190" s="48">
        <v>0</v>
      </c>
      <c r="J190" s="43">
        <v>57</v>
      </c>
      <c r="K190" s="48">
        <v>136</v>
      </c>
      <c r="L190" s="210">
        <f>K190</f>
        <v>136</v>
      </c>
      <c r="M190" s="23"/>
      <c r="N190" s="43">
        <f t="shared" si="2"/>
        <v>136</v>
      </c>
    </row>
    <row r="191" spans="1:15" ht="24.6" x14ac:dyDescent="0.3">
      <c r="A191" s="24"/>
      <c r="B191" s="24"/>
      <c r="C191" s="24"/>
      <c r="D191" s="24"/>
      <c r="E191" s="24" t="s">
        <v>118</v>
      </c>
      <c r="F191" s="24"/>
      <c r="G191" s="45">
        <v>11</v>
      </c>
      <c r="H191" s="45">
        <v>50</v>
      </c>
      <c r="I191" s="48">
        <v>0.02</v>
      </c>
      <c r="J191" s="43">
        <v>0.02</v>
      </c>
      <c r="K191" s="48">
        <v>0</v>
      </c>
      <c r="L191" s="206"/>
      <c r="M191" s="23" t="s">
        <v>274</v>
      </c>
      <c r="N191" s="43">
        <f t="shared" si="2"/>
        <v>0</v>
      </c>
    </row>
    <row r="192" spans="1:15" x14ac:dyDescent="0.3">
      <c r="A192" s="24"/>
      <c r="B192" s="24"/>
      <c r="C192" s="24"/>
      <c r="D192" s="24"/>
      <c r="E192" s="24" t="s">
        <v>119</v>
      </c>
      <c r="F192" s="24"/>
      <c r="G192" s="45">
        <v>7333</v>
      </c>
      <c r="H192" s="45">
        <v>5872</v>
      </c>
      <c r="I192" s="48">
        <v>5972</v>
      </c>
      <c r="J192" s="48">
        <v>10209</v>
      </c>
      <c r="K192" s="48">
        <v>7769</v>
      </c>
      <c r="L192" s="206">
        <f>750*12</f>
        <v>9000</v>
      </c>
      <c r="M192" s="23" t="s">
        <v>271</v>
      </c>
      <c r="N192" s="43">
        <f t="shared" si="2"/>
        <v>9000</v>
      </c>
    </row>
    <row r="193" spans="1:15" x14ac:dyDescent="0.3">
      <c r="A193" s="24"/>
      <c r="B193" s="24"/>
      <c r="C193" s="24"/>
      <c r="D193" s="24"/>
      <c r="E193" s="24" t="s">
        <v>120</v>
      </c>
      <c r="F193" s="24"/>
      <c r="G193" s="45">
        <v>2650</v>
      </c>
      <c r="H193" s="45">
        <v>0</v>
      </c>
      <c r="I193" s="48">
        <v>600</v>
      </c>
      <c r="J193" s="48">
        <v>1100</v>
      </c>
      <c r="K193" s="48">
        <v>1200</v>
      </c>
      <c r="L193" s="210">
        <f>K193</f>
        <v>1200</v>
      </c>
      <c r="M193" s="23"/>
      <c r="N193" s="43">
        <f t="shared" si="2"/>
        <v>1200</v>
      </c>
    </row>
    <row r="194" spans="1:15" x14ac:dyDescent="0.3">
      <c r="A194" s="24"/>
      <c r="B194" s="24"/>
      <c r="C194" s="24"/>
      <c r="D194" s="24"/>
      <c r="E194" s="24" t="s">
        <v>121</v>
      </c>
      <c r="F194" s="24"/>
      <c r="G194" s="45">
        <v>612.54</v>
      </c>
      <c r="H194" s="45">
        <v>612.54</v>
      </c>
      <c r="I194" s="48">
        <v>0</v>
      </c>
      <c r="J194" s="48">
        <v>0</v>
      </c>
      <c r="K194" s="48">
        <v>1500</v>
      </c>
      <c r="L194" s="210">
        <f>K194</f>
        <v>1500</v>
      </c>
      <c r="M194" s="23"/>
      <c r="N194" s="43">
        <f t="shared" si="2"/>
        <v>1500</v>
      </c>
    </row>
    <row r="195" spans="1:15" x14ac:dyDescent="0.3">
      <c r="A195" s="24"/>
      <c r="B195" s="24"/>
      <c r="C195" s="24"/>
      <c r="D195" s="24"/>
      <c r="E195" s="24" t="s">
        <v>122</v>
      </c>
      <c r="F195" s="24"/>
      <c r="G195" s="45">
        <v>80.319999999999993</v>
      </c>
      <c r="H195" s="45">
        <v>200</v>
      </c>
      <c r="I195" s="48">
        <v>0</v>
      </c>
      <c r="J195" s="48">
        <v>83</v>
      </c>
      <c r="K195" s="48">
        <v>200</v>
      </c>
      <c r="L195" s="210">
        <f>K195</f>
        <v>200</v>
      </c>
      <c r="M195" s="23"/>
      <c r="N195" s="43">
        <f t="shared" si="2"/>
        <v>200</v>
      </c>
    </row>
    <row r="196" spans="1:15" x14ac:dyDescent="0.3">
      <c r="A196" s="24"/>
      <c r="B196" s="24"/>
      <c r="C196" s="24"/>
      <c r="D196" s="24"/>
      <c r="E196" s="24" t="s">
        <v>123</v>
      </c>
      <c r="F196" s="24"/>
      <c r="G196" s="45">
        <v>294.52</v>
      </c>
      <c r="H196" s="45">
        <v>150</v>
      </c>
      <c r="I196" s="48">
        <v>674</v>
      </c>
      <c r="J196" s="48">
        <v>1257</v>
      </c>
      <c r="K196" s="48">
        <v>200</v>
      </c>
      <c r="L196" s="206">
        <v>1200</v>
      </c>
      <c r="M196" s="23" t="s">
        <v>272</v>
      </c>
      <c r="N196" s="43">
        <f t="shared" si="2"/>
        <v>1200</v>
      </c>
    </row>
    <row r="197" spans="1:15" x14ac:dyDescent="0.3">
      <c r="A197" s="24"/>
      <c r="B197" s="24"/>
      <c r="C197" s="24"/>
      <c r="D197" s="24"/>
      <c r="E197" s="24" t="s">
        <v>124</v>
      </c>
      <c r="F197" s="24"/>
      <c r="G197" s="45">
        <v>381.3</v>
      </c>
      <c r="H197" s="45">
        <v>700</v>
      </c>
      <c r="I197" s="48">
        <v>160.6</v>
      </c>
      <c r="J197" s="48">
        <v>369</v>
      </c>
      <c r="K197" s="48">
        <v>500</v>
      </c>
      <c r="L197" s="210">
        <v>400</v>
      </c>
      <c r="M197" s="23" t="s">
        <v>271</v>
      </c>
      <c r="N197" s="43">
        <f t="shared" si="2"/>
        <v>400</v>
      </c>
    </row>
    <row r="198" spans="1:15" x14ac:dyDescent="0.3">
      <c r="A198" s="24"/>
      <c r="B198" s="24"/>
      <c r="C198" s="24"/>
      <c r="D198" s="24"/>
      <c r="E198" s="24" t="s">
        <v>125</v>
      </c>
      <c r="F198" s="24"/>
      <c r="G198" s="45">
        <v>187.35</v>
      </c>
      <c r="H198" s="45">
        <v>150</v>
      </c>
      <c r="I198" s="48">
        <v>36.53</v>
      </c>
      <c r="J198" s="48">
        <v>99</v>
      </c>
      <c r="K198" s="48">
        <v>150</v>
      </c>
      <c r="L198" s="210">
        <f>K198</f>
        <v>150</v>
      </c>
      <c r="M198" s="23"/>
      <c r="N198" s="43">
        <f t="shared" si="2"/>
        <v>150</v>
      </c>
    </row>
    <row r="199" spans="1:15" x14ac:dyDescent="0.3">
      <c r="A199" s="24"/>
      <c r="B199" s="24"/>
      <c r="C199" s="24"/>
      <c r="D199" s="24"/>
      <c r="E199" s="24" t="s">
        <v>126</v>
      </c>
      <c r="F199" s="24"/>
      <c r="G199" s="45">
        <v>1885.11</v>
      </c>
      <c r="H199" s="45">
        <v>2200</v>
      </c>
      <c r="I199" s="48">
        <v>512</v>
      </c>
      <c r="J199" s="48">
        <v>945</v>
      </c>
      <c r="K199" s="48">
        <v>2000</v>
      </c>
      <c r="L199" s="210">
        <f>K199</f>
        <v>2000</v>
      </c>
      <c r="M199" s="23"/>
      <c r="N199" s="43">
        <f t="shared" si="2"/>
        <v>2000</v>
      </c>
    </row>
    <row r="200" spans="1:15" ht="15" thickBot="1" x14ac:dyDescent="0.35">
      <c r="A200" s="24"/>
      <c r="B200" s="24"/>
      <c r="C200" s="24"/>
      <c r="D200" s="24"/>
      <c r="E200" s="24" t="s">
        <v>127</v>
      </c>
      <c r="F200" s="24"/>
      <c r="G200" s="46">
        <v>1590.79</v>
      </c>
      <c r="H200" s="46">
        <v>3200</v>
      </c>
      <c r="I200" s="50">
        <v>673</v>
      </c>
      <c r="J200" s="48">
        <v>1298</v>
      </c>
      <c r="K200" s="48">
        <v>1500</v>
      </c>
      <c r="L200" s="210">
        <f>K200</f>
        <v>1500</v>
      </c>
      <c r="M200" s="23"/>
      <c r="N200" s="43">
        <f t="shared" si="2"/>
        <v>1500</v>
      </c>
    </row>
    <row r="201" spans="1:15" x14ac:dyDescent="0.3">
      <c r="A201" s="24"/>
      <c r="B201" s="24"/>
      <c r="C201" s="24"/>
      <c r="D201" s="24" t="s">
        <v>128</v>
      </c>
      <c r="E201" s="24"/>
      <c r="F201" s="24"/>
      <c r="G201" s="45">
        <v>22941.38</v>
      </c>
      <c r="H201" s="45">
        <v>22634.54</v>
      </c>
      <c r="I201" s="48">
        <f>ROUND(SUM(I187:I200),5)</f>
        <v>13178.15</v>
      </c>
      <c r="J201" s="48">
        <f>ROUND(SUM(J187:J200),5)</f>
        <v>23425.02</v>
      </c>
      <c r="K201" s="48">
        <f>ROUND(SUM(K187:K200),5)</f>
        <v>23455</v>
      </c>
      <c r="L201" s="211">
        <f>ROUND(SUM(L187:L200),5)</f>
        <v>25286</v>
      </c>
      <c r="M201" s="23"/>
      <c r="N201" s="48">
        <f>ROUND(SUM(N187:N200),5)</f>
        <v>25286</v>
      </c>
    </row>
    <row r="202" spans="1:15" x14ac:dyDescent="0.3">
      <c r="A202" s="24"/>
      <c r="B202" s="24"/>
      <c r="C202" s="24"/>
      <c r="D202" s="24" t="s">
        <v>129</v>
      </c>
      <c r="E202" s="24"/>
      <c r="F202" s="24"/>
      <c r="G202" s="45"/>
      <c r="H202" s="45"/>
      <c r="I202" s="112"/>
      <c r="J202" s="48"/>
      <c r="K202" s="160"/>
      <c r="L202" s="206"/>
      <c r="M202" s="23"/>
    </row>
    <row r="203" spans="1:15" x14ac:dyDescent="0.3">
      <c r="A203" s="24"/>
      <c r="B203" s="24"/>
      <c r="C203" s="24"/>
      <c r="D203" s="24"/>
      <c r="E203" s="24" t="s">
        <v>130</v>
      </c>
      <c r="F203" s="24"/>
      <c r="G203" s="45">
        <v>2908</v>
      </c>
      <c r="H203" s="45">
        <v>1800</v>
      </c>
      <c r="I203" s="48">
        <v>530</v>
      </c>
      <c r="J203" s="48">
        <v>1405</v>
      </c>
      <c r="K203" s="48">
        <v>2100</v>
      </c>
      <c r="L203" s="206"/>
      <c r="M203" s="23"/>
    </row>
    <row r="204" spans="1:15" x14ac:dyDescent="0.3">
      <c r="A204" s="24"/>
      <c r="B204" s="24"/>
      <c r="C204" s="24"/>
      <c r="D204" s="24"/>
      <c r="E204" s="24" t="s">
        <v>131</v>
      </c>
      <c r="F204" s="24"/>
      <c r="G204" s="45">
        <v>10822.7</v>
      </c>
      <c r="H204" s="45">
        <v>13500</v>
      </c>
      <c r="I204" s="48">
        <v>7916</v>
      </c>
      <c r="J204" s="48">
        <v>13541</v>
      </c>
      <c r="K204" s="48">
        <v>13500</v>
      </c>
      <c r="L204" s="206"/>
      <c r="M204" s="23"/>
    </row>
    <row r="205" spans="1:15" ht="15" thickBot="1" x14ac:dyDescent="0.35">
      <c r="A205" s="24"/>
      <c r="B205" s="24"/>
      <c r="C205" s="24"/>
      <c r="D205" s="24"/>
      <c r="E205" s="24" t="s">
        <v>132</v>
      </c>
      <c r="F205" s="24"/>
      <c r="G205" s="45">
        <v>12910.28</v>
      </c>
      <c r="H205" s="45">
        <v>14192</v>
      </c>
      <c r="I205" s="50">
        <v>10568</v>
      </c>
      <c r="J205" s="48">
        <v>14481</v>
      </c>
      <c r="K205" s="48">
        <v>14192</v>
      </c>
      <c r="L205" s="206"/>
      <c r="M205" s="23"/>
    </row>
    <row r="206" spans="1:15" ht="16.5" customHeight="1" x14ac:dyDescent="0.3">
      <c r="A206" s="24"/>
      <c r="B206" s="24"/>
      <c r="C206" s="24"/>
      <c r="D206" s="24"/>
      <c r="E206" s="24"/>
      <c r="F206" s="24" t="s">
        <v>178</v>
      </c>
      <c r="G206" s="45"/>
      <c r="H206" s="45"/>
      <c r="I206" s="48">
        <f>ROUND(SUM(I205:I205),5)</f>
        <v>10568</v>
      </c>
      <c r="J206" s="48">
        <v>14481</v>
      </c>
      <c r="K206" s="48">
        <f>ROUND(SUM(K205:K205),5)</f>
        <v>14192</v>
      </c>
      <c r="L206" s="206"/>
      <c r="M206" s="23"/>
    </row>
    <row r="207" spans="1:15" s="2" customFormat="1" ht="16.5" customHeight="1" x14ac:dyDescent="0.3">
      <c r="A207" s="24"/>
      <c r="B207" s="24"/>
      <c r="C207" s="24"/>
      <c r="D207" s="24"/>
      <c r="E207" s="24" t="s">
        <v>133</v>
      </c>
      <c r="F207" s="24"/>
      <c r="G207" s="45">
        <v>2415.19</v>
      </c>
      <c r="H207" s="45">
        <v>1300</v>
      </c>
      <c r="I207" s="48">
        <v>1184</v>
      </c>
      <c r="J207" s="43">
        <v>2449</v>
      </c>
      <c r="K207" s="48">
        <v>2074</v>
      </c>
      <c r="L207" s="206"/>
      <c r="M207" s="23"/>
      <c r="N207" s="41"/>
      <c r="O207"/>
    </row>
    <row r="208" spans="1:15" s="2" customFormat="1" ht="12.75" customHeight="1" thickBot="1" x14ac:dyDescent="0.35">
      <c r="A208" s="24"/>
      <c r="B208" s="24"/>
      <c r="C208" s="24"/>
      <c r="D208" s="24"/>
      <c r="E208" s="24" t="s">
        <v>134</v>
      </c>
      <c r="F208" s="24"/>
      <c r="G208" s="46">
        <v>8970.4599999999991</v>
      </c>
      <c r="H208" s="46">
        <v>9000</v>
      </c>
      <c r="I208" s="50">
        <v>3252</v>
      </c>
      <c r="J208" s="48">
        <v>4003</v>
      </c>
      <c r="K208" s="48">
        <v>9000</v>
      </c>
      <c r="L208" s="206"/>
      <c r="M208" s="23"/>
      <c r="N208" s="41"/>
      <c r="O208"/>
    </row>
    <row r="209" spans="1:15" s="2" customFormat="1" ht="29.25" customHeight="1" x14ac:dyDescent="0.3">
      <c r="A209" s="24"/>
      <c r="B209" s="24"/>
      <c r="C209" s="24"/>
      <c r="D209" s="24" t="s">
        <v>135</v>
      </c>
      <c r="E209" s="24"/>
      <c r="F209" s="24"/>
      <c r="G209" s="45">
        <v>38026.629999999997</v>
      </c>
      <c r="H209" s="45">
        <v>39792</v>
      </c>
      <c r="I209" s="48">
        <f>ROUND(SUM(I202:I204)+SUM(I206:I208),5)</f>
        <v>23450</v>
      </c>
      <c r="J209" s="48">
        <f>ROUND(SUM(J202:J204)+SUM(J206:J208),5)</f>
        <v>35879</v>
      </c>
      <c r="K209" s="48">
        <f>ROUND(SUM(K202:K204)+SUM(K206:K208),5)</f>
        <v>40866</v>
      </c>
      <c r="L209" s="210">
        <f>K209</f>
        <v>40866</v>
      </c>
      <c r="M209" s="186" t="s">
        <v>283</v>
      </c>
      <c r="N209" s="43">
        <f>L209</f>
        <v>40866</v>
      </c>
      <c r="O209"/>
    </row>
    <row r="210" spans="1:15" s="2" customFormat="1" ht="16.5" customHeight="1" x14ac:dyDescent="0.3">
      <c r="A210" s="24"/>
      <c r="B210" s="24"/>
      <c r="C210" s="24"/>
      <c r="D210" s="24" t="s">
        <v>136</v>
      </c>
      <c r="E210" s="24"/>
      <c r="F210" s="24"/>
      <c r="G210" s="45"/>
      <c r="H210" s="45"/>
      <c r="I210" s="112"/>
      <c r="J210" s="43"/>
      <c r="K210" s="160"/>
      <c r="L210" s="206"/>
      <c r="M210" s="23"/>
      <c r="N210" s="41"/>
      <c r="O210"/>
    </row>
    <row r="211" spans="1:15" s="2" customFormat="1" ht="16.5" customHeight="1" x14ac:dyDescent="0.3">
      <c r="A211" s="24"/>
      <c r="B211" s="24"/>
      <c r="C211" s="24"/>
      <c r="D211" s="24"/>
      <c r="E211" s="24" t="s">
        <v>137</v>
      </c>
      <c r="F211" s="24"/>
      <c r="G211" s="45">
        <v>13798</v>
      </c>
      <c r="H211" s="45">
        <v>12000</v>
      </c>
      <c r="I211" s="48">
        <v>7979</v>
      </c>
      <c r="J211" s="48">
        <v>13804</v>
      </c>
      <c r="K211" s="48">
        <v>13500</v>
      </c>
      <c r="L211" s="206"/>
      <c r="M211" s="23"/>
      <c r="N211" s="41"/>
      <c r="O211"/>
    </row>
    <row r="212" spans="1:15" s="2" customFormat="1" ht="16.5" customHeight="1" x14ac:dyDescent="0.3">
      <c r="A212" s="24"/>
      <c r="B212" s="24"/>
      <c r="C212" s="24"/>
      <c r="D212" s="24"/>
      <c r="E212" s="24" t="s">
        <v>138</v>
      </c>
      <c r="F212" s="24"/>
      <c r="G212" s="45">
        <v>10754</v>
      </c>
      <c r="H212" s="45">
        <v>9480</v>
      </c>
      <c r="I212" s="48">
        <v>5067</v>
      </c>
      <c r="J212" s="43">
        <v>8650</v>
      </c>
      <c r="K212" s="48">
        <v>11000</v>
      </c>
      <c r="L212" s="206"/>
      <c r="M212" s="23"/>
      <c r="N212" s="41"/>
      <c r="O212"/>
    </row>
    <row r="213" spans="1:15" s="2" customFormat="1" ht="16.5" customHeight="1" x14ac:dyDescent="0.3">
      <c r="A213" s="24"/>
      <c r="B213" s="24"/>
      <c r="C213" s="24"/>
      <c r="D213" s="24"/>
      <c r="E213" s="24" t="s">
        <v>139</v>
      </c>
      <c r="F213" s="24"/>
      <c r="G213" s="45">
        <v>4753.0200000000004</v>
      </c>
      <c r="H213" s="45">
        <v>4500</v>
      </c>
      <c r="I213" s="48">
        <v>2045</v>
      </c>
      <c r="J213" s="48">
        <v>3420</v>
      </c>
      <c r="K213" s="48">
        <v>4500</v>
      </c>
      <c r="L213" s="206"/>
      <c r="M213" s="23"/>
      <c r="N213" s="41"/>
      <c r="O213"/>
    </row>
    <row r="214" spans="1:15" s="2" customFormat="1" ht="16.5" customHeight="1" x14ac:dyDescent="0.3">
      <c r="A214" s="24"/>
      <c r="B214" s="24"/>
      <c r="C214" s="24"/>
      <c r="D214" s="24"/>
      <c r="E214" s="24" t="s">
        <v>140</v>
      </c>
      <c r="F214" s="24"/>
      <c r="G214" s="45">
        <v>5177.91</v>
      </c>
      <c r="H214" s="45">
        <v>4000</v>
      </c>
      <c r="I214" s="48">
        <v>3164</v>
      </c>
      <c r="J214" s="48">
        <v>5456</v>
      </c>
      <c r="K214" s="48">
        <v>5500</v>
      </c>
      <c r="L214" s="206"/>
      <c r="M214" s="23"/>
      <c r="N214" s="41"/>
      <c r="O214"/>
    </row>
    <row r="215" spans="1:15" s="2" customFormat="1" ht="16.5" customHeight="1" thickBot="1" x14ac:dyDescent="0.35">
      <c r="A215" s="24"/>
      <c r="B215" s="24"/>
      <c r="C215" s="24"/>
      <c r="D215" s="24"/>
      <c r="E215" s="24" t="s">
        <v>141</v>
      </c>
      <c r="F215" s="24"/>
      <c r="G215" s="46">
        <v>5375.77</v>
      </c>
      <c r="H215" s="46">
        <v>4700</v>
      </c>
      <c r="I215" s="50">
        <v>3182</v>
      </c>
      <c r="J215" s="47">
        <v>5682</v>
      </c>
      <c r="K215" s="48">
        <v>6000</v>
      </c>
      <c r="L215" s="206"/>
      <c r="M215" s="23"/>
      <c r="N215" s="41"/>
      <c r="O215"/>
    </row>
    <row r="216" spans="1:15" s="2" customFormat="1" ht="16.5" customHeight="1" x14ac:dyDescent="0.3">
      <c r="A216" s="24"/>
      <c r="B216" s="24"/>
      <c r="C216" s="24"/>
      <c r="D216" s="24" t="s">
        <v>142</v>
      </c>
      <c r="E216" s="24"/>
      <c r="F216" s="24"/>
      <c r="G216" s="45">
        <v>39858.699999999997</v>
      </c>
      <c r="H216" s="45">
        <v>34680</v>
      </c>
      <c r="I216" s="48">
        <f>ROUND(SUM(I210:I215),5)</f>
        <v>21437</v>
      </c>
      <c r="J216" s="48">
        <f>ROUND(SUM(J210:J215),5)</f>
        <v>37012</v>
      </c>
      <c r="K216" s="48">
        <f>ROUND(SUM(K210:K215),5)</f>
        <v>40500</v>
      </c>
      <c r="L216" s="210">
        <f>J216+(J216*0.05)</f>
        <v>38862.6</v>
      </c>
      <c r="M216" s="187" t="s">
        <v>348</v>
      </c>
      <c r="N216" s="49">
        <f>L216+(L216*0.05)</f>
        <v>40805.729999999996</v>
      </c>
      <c r="O216"/>
    </row>
    <row r="217" spans="1:15" s="2" customFormat="1" ht="16.5" customHeight="1" x14ac:dyDescent="0.3">
      <c r="A217" s="24"/>
      <c r="B217" s="24"/>
      <c r="C217" s="24"/>
      <c r="D217" s="24" t="s">
        <v>143</v>
      </c>
      <c r="E217" s="24"/>
      <c r="F217" s="24"/>
      <c r="G217" s="45"/>
      <c r="H217" s="45"/>
      <c r="I217" s="48"/>
      <c r="J217" s="48"/>
      <c r="K217" s="48"/>
      <c r="L217" s="206"/>
      <c r="M217" s="23"/>
      <c r="N217" s="41"/>
      <c r="O217"/>
    </row>
    <row r="218" spans="1:15" s="2" customFormat="1" ht="27.75" customHeight="1" x14ac:dyDescent="0.3">
      <c r="A218" s="24"/>
      <c r="B218" s="24"/>
      <c r="C218" s="24"/>
      <c r="D218" s="24"/>
      <c r="E218" s="24" t="s">
        <v>144</v>
      </c>
      <c r="F218" s="24"/>
      <c r="G218" s="45">
        <v>8034</v>
      </c>
      <c r="H218" s="45">
        <v>8034</v>
      </c>
      <c r="I218" s="48">
        <v>2659.8</v>
      </c>
      <c r="J218" s="48">
        <v>8865.82</v>
      </c>
      <c r="K218" s="48">
        <v>8866</v>
      </c>
      <c r="L218" s="206">
        <f>321*28</f>
        <v>8988</v>
      </c>
      <c r="M218" s="179" t="s">
        <v>275</v>
      </c>
      <c r="N218" s="41">
        <f>28*350</f>
        <v>9800</v>
      </c>
      <c r="O218" s="23" t="s">
        <v>322</v>
      </c>
    </row>
    <row r="219" spans="1:15" s="2" customFormat="1" ht="16.5" customHeight="1" thickBot="1" x14ac:dyDescent="0.35">
      <c r="A219" s="24"/>
      <c r="B219" s="24"/>
      <c r="C219" s="24"/>
      <c r="D219" s="24"/>
      <c r="E219" s="24" t="s">
        <v>145</v>
      </c>
      <c r="F219" s="24"/>
      <c r="G219" s="46">
        <v>18540</v>
      </c>
      <c r="H219" s="46">
        <v>18540</v>
      </c>
      <c r="I219" s="50">
        <v>6820</v>
      </c>
      <c r="J219" s="61">
        <v>20479.98</v>
      </c>
      <c r="K219" s="48">
        <v>20480</v>
      </c>
      <c r="L219" s="220">
        <f>321*60</f>
        <v>19260</v>
      </c>
      <c r="M219" s="185" t="s">
        <v>284</v>
      </c>
      <c r="N219" s="47">
        <f>60*350</f>
        <v>21000</v>
      </c>
      <c r="O219" s="23"/>
    </row>
    <row r="220" spans="1:15" s="2" customFormat="1" ht="16.5" customHeight="1" x14ac:dyDescent="0.3">
      <c r="A220" s="24"/>
      <c r="B220" s="24"/>
      <c r="C220" s="24"/>
      <c r="D220" s="24" t="s">
        <v>146</v>
      </c>
      <c r="E220" s="24"/>
      <c r="F220" s="24"/>
      <c r="G220" s="45">
        <v>26574</v>
      </c>
      <c r="H220" s="45">
        <v>26574</v>
      </c>
      <c r="I220" s="48">
        <f>ROUND(SUM(I217:I219),5)</f>
        <v>9479.7999999999993</v>
      </c>
      <c r="J220" s="48">
        <v>29345.8</v>
      </c>
      <c r="K220" s="48">
        <f>ROUND(SUM(K217:K219),5)</f>
        <v>29346</v>
      </c>
      <c r="L220" s="211">
        <f>ROUND(SUM(L217:L219),5)</f>
        <v>28248</v>
      </c>
      <c r="M220" s="23"/>
      <c r="N220" s="48">
        <f>ROUND(SUM(N217:N219),5)</f>
        <v>30800</v>
      </c>
      <c r="O220" s="23" t="s">
        <v>285</v>
      </c>
    </row>
    <row r="221" spans="1:15" s="2" customFormat="1" ht="16.5" customHeight="1" x14ac:dyDescent="0.3">
      <c r="A221" s="24"/>
      <c r="B221" s="24"/>
      <c r="C221" s="24"/>
      <c r="D221" s="24" t="s">
        <v>147</v>
      </c>
      <c r="E221" s="24"/>
      <c r="F221" s="24"/>
      <c r="G221" s="45"/>
      <c r="H221" s="45"/>
      <c r="I221" s="48"/>
      <c r="J221" s="48"/>
      <c r="K221" s="48"/>
      <c r="L221" s="206"/>
      <c r="M221" s="23"/>
      <c r="N221" s="41"/>
      <c r="O221"/>
    </row>
    <row r="222" spans="1:15" s="2" customFormat="1" ht="16.5" customHeight="1" thickBot="1" x14ac:dyDescent="0.35">
      <c r="A222" s="24"/>
      <c r="B222" s="24"/>
      <c r="C222" s="24"/>
      <c r="D222" s="24"/>
      <c r="E222" s="24" t="s">
        <v>148</v>
      </c>
      <c r="F222" s="24"/>
      <c r="G222" s="46">
        <v>5367.72</v>
      </c>
      <c r="H222" s="46">
        <v>6720</v>
      </c>
      <c r="I222" s="50">
        <v>2554</v>
      </c>
      <c r="J222" s="61">
        <v>4338</v>
      </c>
      <c r="K222" s="48">
        <v>7880</v>
      </c>
      <c r="L222" s="206">
        <v>5000</v>
      </c>
      <c r="M222" s="23"/>
      <c r="N222" s="41">
        <v>5000</v>
      </c>
      <c r="O222"/>
    </row>
    <row r="223" spans="1:15" s="2" customFormat="1" ht="16.5" customHeight="1" thickBot="1" x14ac:dyDescent="0.35">
      <c r="A223" s="24"/>
      <c r="B223" s="24"/>
      <c r="C223" s="24"/>
      <c r="D223" s="24" t="s">
        <v>149</v>
      </c>
      <c r="E223" s="24"/>
      <c r="F223" s="24"/>
      <c r="G223" s="45">
        <v>5367.72</v>
      </c>
      <c r="H223" s="45">
        <v>6720</v>
      </c>
      <c r="I223" s="48">
        <f>ROUND(SUM(I221:I222),5)</f>
        <v>2554</v>
      </c>
      <c r="J223" s="48">
        <f>ROUND(SUM(J221:J222),5)</f>
        <v>4338</v>
      </c>
      <c r="K223" s="48">
        <f>ROUND(SUM(K221:K222),5)</f>
        <v>7880</v>
      </c>
      <c r="L223" s="211">
        <f>ROUND(SUM(L221:L222),5)</f>
        <v>5000</v>
      </c>
      <c r="M223" s="23"/>
      <c r="N223" s="43">
        <f>L223</f>
        <v>5000</v>
      </c>
      <c r="O223"/>
    </row>
    <row r="224" spans="1:15" s="2" customFormat="1" ht="16.5" customHeight="1" thickBot="1" x14ac:dyDescent="0.35">
      <c r="A224" s="24"/>
      <c r="B224" s="24"/>
      <c r="C224" s="121"/>
      <c r="D224" s="122"/>
      <c r="E224" s="122"/>
      <c r="F224" s="122" t="s">
        <v>235</v>
      </c>
      <c r="G224" s="123"/>
      <c r="H224" s="123"/>
      <c r="I224" s="124"/>
      <c r="J224" s="124"/>
      <c r="K224" s="181"/>
      <c r="L224" s="217"/>
      <c r="M224" s="126" t="s">
        <v>318</v>
      </c>
      <c r="N224" s="129"/>
      <c r="O224" s="128"/>
    </row>
    <row r="225" spans="1:15" s="2" customFormat="1" ht="16.5" customHeight="1" x14ac:dyDescent="0.3">
      <c r="A225" s="24"/>
      <c r="B225" s="24"/>
      <c r="C225" s="24"/>
      <c r="D225" s="24" t="s">
        <v>150</v>
      </c>
      <c r="E225" s="24"/>
      <c r="F225" s="24"/>
      <c r="G225" s="45"/>
      <c r="H225" s="45"/>
      <c r="I225" s="48"/>
      <c r="J225" s="48"/>
      <c r="K225" s="48"/>
      <c r="L225" s="206"/>
      <c r="M225" s="23"/>
      <c r="N225" s="41"/>
      <c r="O225"/>
    </row>
    <row r="226" spans="1:15" s="2" customFormat="1" ht="16.5" customHeight="1" thickBot="1" x14ac:dyDescent="0.35">
      <c r="A226" s="24"/>
      <c r="B226" s="24"/>
      <c r="C226" s="24"/>
      <c r="D226" s="24"/>
      <c r="E226" s="24" t="s">
        <v>151</v>
      </c>
      <c r="F226" s="24"/>
      <c r="G226" s="52">
        <v>40718.36</v>
      </c>
      <c r="H226" s="52">
        <v>41532</v>
      </c>
      <c r="I226" s="48">
        <v>22953</v>
      </c>
      <c r="J226" s="61">
        <v>39120</v>
      </c>
      <c r="K226" s="48">
        <v>38800</v>
      </c>
      <c r="L226" s="210">
        <f>K226-5000</f>
        <v>33800</v>
      </c>
      <c r="M226" s="185" t="s">
        <v>192</v>
      </c>
      <c r="N226" s="43">
        <f>L226</f>
        <v>33800</v>
      </c>
      <c r="O226"/>
    </row>
    <row r="227" spans="1:15" s="2" customFormat="1" ht="15" thickBot="1" x14ac:dyDescent="0.35">
      <c r="A227" s="24"/>
      <c r="B227" s="24"/>
      <c r="C227" s="24"/>
      <c r="D227" s="24" t="s">
        <v>152</v>
      </c>
      <c r="E227" s="24"/>
      <c r="F227" s="24"/>
      <c r="G227" s="53">
        <v>40718.36</v>
      </c>
      <c r="H227" s="53">
        <v>41532</v>
      </c>
      <c r="I227" s="62">
        <f>ROUND(SUM(I225:I226),5)</f>
        <v>22953</v>
      </c>
      <c r="J227" s="62">
        <f>ROUND(SUM(J225:J226),5)</f>
        <v>39120</v>
      </c>
      <c r="K227" s="48">
        <f>ROUND(SUM(K225:K226),5)</f>
        <v>38800</v>
      </c>
      <c r="L227" s="210">
        <f>K227-5000</f>
        <v>33800</v>
      </c>
      <c r="M227" s="23"/>
      <c r="N227" s="43">
        <f>L227</f>
        <v>33800</v>
      </c>
      <c r="O227"/>
    </row>
    <row r="228" spans="1:15" s="2" customFormat="1" ht="15" thickBot="1" x14ac:dyDescent="0.35">
      <c r="A228" s="24"/>
      <c r="B228" s="24"/>
      <c r="C228" s="24" t="s">
        <v>164</v>
      </c>
      <c r="D228" s="24"/>
      <c r="E228" s="24"/>
      <c r="F228" s="24"/>
      <c r="G228" s="59">
        <v>506108.11</v>
      </c>
      <c r="H228" s="59">
        <v>515160</v>
      </c>
      <c r="I228" s="48">
        <f>I110+I138+I157+I180+I186+I201+I209+I216+I220+I222+I227</f>
        <v>308802.23</v>
      </c>
      <c r="J228" s="48">
        <f>J110+J138+J157+J180+J186+J201+J209+J216+J220+J222+J227</f>
        <v>532862.57000000007</v>
      </c>
      <c r="K228" s="48">
        <f>K110+K138+K157+K180+K186+K201+K209+K216+K220+K222+K227</f>
        <v>556700.53</v>
      </c>
      <c r="L228" s="211">
        <f>L110+L138+L157+L180+L186+L201+L209+L216+L220+L222+L227+L224</f>
        <v>535507.67999999993</v>
      </c>
      <c r="M228" s="23"/>
      <c r="N228" s="48">
        <f>N110+N138+N158+N180+N186+N201+N209+N216+N219+N222+N227+N224</f>
        <v>353965.1765</v>
      </c>
      <c r="O228"/>
    </row>
    <row r="229" spans="1:15" s="2" customFormat="1" ht="15" thickBot="1" x14ac:dyDescent="0.35">
      <c r="A229" s="24"/>
      <c r="B229" s="24"/>
      <c r="C229" s="24"/>
      <c r="D229" s="24" t="s">
        <v>153</v>
      </c>
      <c r="E229" s="24"/>
      <c r="F229" s="24"/>
      <c r="G229" s="45">
        <v>32340.639999999999</v>
      </c>
      <c r="H229" s="45">
        <v>31464</v>
      </c>
      <c r="I229" s="48">
        <v>19665</v>
      </c>
      <c r="J229" s="61">
        <v>33956</v>
      </c>
      <c r="K229" s="48">
        <v>34300</v>
      </c>
      <c r="L229" s="210">
        <f>K229-4800</f>
        <v>29500</v>
      </c>
      <c r="M229" s="23" t="s">
        <v>192</v>
      </c>
      <c r="N229" s="49">
        <f>L229</f>
        <v>29500</v>
      </c>
      <c r="O229"/>
    </row>
    <row r="230" spans="1:15" s="2" customFormat="1" ht="15" thickBot="1" x14ac:dyDescent="0.35">
      <c r="A230" s="24" t="s">
        <v>165</v>
      </c>
      <c r="B230" s="24"/>
      <c r="C230" s="24"/>
      <c r="D230" s="24"/>
      <c r="E230" s="24"/>
      <c r="F230" s="24"/>
      <c r="G230" s="63">
        <f t="shared" ref="G230:L230" si="3">G228+G229</f>
        <v>538448.75</v>
      </c>
      <c r="H230" s="63">
        <f t="shared" si="3"/>
        <v>546624</v>
      </c>
      <c r="I230" s="118">
        <f t="shared" si="3"/>
        <v>328467.23</v>
      </c>
      <c r="J230" s="63">
        <f t="shared" si="3"/>
        <v>566818.57000000007</v>
      </c>
      <c r="K230" s="183">
        <f t="shared" si="3"/>
        <v>591000.53</v>
      </c>
      <c r="L230" s="221">
        <f t="shared" si="3"/>
        <v>565007.67999999993</v>
      </c>
      <c r="M230" s="23"/>
      <c r="N230" s="63">
        <f>N228+N229</f>
        <v>383465.1765</v>
      </c>
      <c r="O230"/>
    </row>
    <row r="231" spans="1:15" s="2" customFormat="1" ht="15.6" thickTop="1" thickBot="1" x14ac:dyDescent="0.35">
      <c r="A231" s="33"/>
      <c r="B231" s="33"/>
      <c r="C231" s="33"/>
      <c r="D231" s="33"/>
      <c r="E231" s="33"/>
      <c r="F231" s="33"/>
      <c r="G231" s="43"/>
      <c r="H231" s="43"/>
      <c r="I231" s="40"/>
      <c r="J231" s="40"/>
      <c r="K231" s="40"/>
      <c r="L231" s="206"/>
      <c r="M231" s="23"/>
      <c r="N231" s="41"/>
      <c r="O231"/>
    </row>
    <row r="232" spans="1:15" s="2" customFormat="1" x14ac:dyDescent="0.3">
      <c r="A232" s="34"/>
      <c r="B232" s="35"/>
      <c r="C232" s="35"/>
      <c r="D232" s="35"/>
      <c r="E232" s="35"/>
      <c r="F232" s="35" t="s">
        <v>154</v>
      </c>
      <c r="G232" s="55"/>
      <c r="H232" s="55"/>
      <c r="I232" s="64"/>
      <c r="J232" s="64"/>
      <c r="K232" s="64"/>
      <c r="L232" s="239"/>
      <c r="M232" s="240"/>
      <c r="N232" s="241"/>
      <c r="O232"/>
    </row>
    <row r="233" spans="1:15" s="2" customFormat="1" x14ac:dyDescent="0.3">
      <c r="A233" s="36"/>
      <c r="B233" s="37"/>
      <c r="C233" s="37"/>
      <c r="D233" s="37"/>
      <c r="E233" s="37"/>
      <c r="F233" s="37" t="s">
        <v>155</v>
      </c>
      <c r="G233" s="65">
        <f t="shared" ref="G233:L233" si="4">G88</f>
        <v>536525.73</v>
      </c>
      <c r="H233" s="65">
        <f t="shared" si="4"/>
        <v>546623</v>
      </c>
      <c r="I233" s="65">
        <f t="shared" si="4"/>
        <v>318887</v>
      </c>
      <c r="J233" s="65">
        <f t="shared" si="4"/>
        <v>555472</v>
      </c>
      <c r="K233" s="65">
        <f t="shared" si="4"/>
        <v>591004.75</v>
      </c>
      <c r="L233" s="65">
        <f t="shared" si="4"/>
        <v>546199.6</v>
      </c>
      <c r="M233" s="242"/>
      <c r="N233" s="66">
        <f>N88</f>
        <v>549547.1692</v>
      </c>
      <c r="O233"/>
    </row>
    <row r="234" spans="1:15" s="2" customFormat="1" x14ac:dyDescent="0.3">
      <c r="A234" s="36"/>
      <c r="B234" s="37"/>
      <c r="C234" s="37"/>
      <c r="D234" s="37"/>
      <c r="E234" s="37"/>
      <c r="F234" s="37" t="s">
        <v>156</v>
      </c>
      <c r="G234" s="65">
        <f>G228+G229</f>
        <v>538448.75</v>
      </c>
      <c r="H234" s="65">
        <f>H228+H229</f>
        <v>546624</v>
      </c>
      <c r="I234" s="65">
        <f>I228+I229</f>
        <v>328467.23</v>
      </c>
      <c r="J234" s="65">
        <f>J228+J229</f>
        <v>566818.57000000007</v>
      </c>
      <c r="K234" s="65">
        <f>K228+K229</f>
        <v>591000.53</v>
      </c>
      <c r="L234" s="65">
        <f>L230</f>
        <v>565007.67999999993</v>
      </c>
      <c r="M234" s="242"/>
      <c r="N234" s="66">
        <f>L230</f>
        <v>565007.67999999993</v>
      </c>
      <c r="O234"/>
    </row>
    <row r="235" spans="1:15" s="2" customFormat="1" ht="15" thickBot="1" x14ac:dyDescent="0.35">
      <c r="A235" s="38"/>
      <c r="B235" s="39"/>
      <c r="C235" s="39"/>
      <c r="D235" s="39"/>
      <c r="E235" s="39"/>
      <c r="F235" s="39" t="s">
        <v>157</v>
      </c>
      <c r="G235" s="58">
        <f>G233-G234</f>
        <v>-1923.0200000000186</v>
      </c>
      <c r="H235" s="58">
        <f>H233-H234</f>
        <v>-1</v>
      </c>
      <c r="I235" s="58"/>
      <c r="J235" s="58">
        <f>J233-J234</f>
        <v>-11346.570000000065</v>
      </c>
      <c r="K235" s="58">
        <f>K233-K234</f>
        <v>4.2199999999720603</v>
      </c>
      <c r="L235" s="67">
        <f>L233-L234</f>
        <v>-18808.079999999958</v>
      </c>
      <c r="M235" s="243"/>
      <c r="N235" s="67">
        <f>N233-N234</f>
        <v>-15460.510799999931</v>
      </c>
      <c r="O235"/>
    </row>
  </sheetData>
  <hyperlinks>
    <hyperlink ref="F5" location="'budgetwks (2)'!Q8" display="Most Recent pledge report"/>
    <hyperlink ref="F4" location="'budgetwks (2)'!A8" display="New method for estimating pledges"/>
    <hyperlink ref="P9" location="'budgetwks (2)'!Q8" display="'budgetwks (2)'!Q8"/>
    <hyperlink ref="F6" location="'budgetwks (2)'!F24" display="Summary"/>
    <hyperlink ref="F7" location="'budgetwks (2)'!F42" display="Detailed continuation (base) budget"/>
  </hyperlinks>
  <printOptions headings="1" gridLines="1"/>
  <pageMargins left="0.25" right="0.25" top="0.75" bottom="0.75" header="0.3" footer="0.3"/>
  <pageSetup fitToHeight="0" orientation="landscape" cellComments="asDisplayed" r:id="rId1"/>
  <rowBreaks count="2" manualBreakCount="2">
    <brk id="31" max="14" man="1"/>
    <brk id="48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Budget Worksheet</vt:lpstr>
      <vt:lpstr>Revenue</vt:lpstr>
      <vt:lpstr>Adobe Rent</vt:lpstr>
      <vt:lpstr>Raise Calcs</vt:lpstr>
      <vt:lpstr>New Proposals</vt:lpstr>
      <vt:lpstr>budgetwks (old)</vt:lpstr>
      <vt:lpstr>'Budget Worksheet'!Print_Area</vt:lpstr>
      <vt:lpstr>'budgetwks (old)'!Print_Area</vt:lpstr>
      <vt:lpstr>Revenue!Print_Area</vt:lpstr>
      <vt:lpstr>'Budget Worksheet'!Print_Titles</vt:lpstr>
      <vt:lpstr>'budgetwks (old)'!Print_Titles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DeeAnne McClenahan</cp:lastModifiedBy>
  <cp:lastPrinted>2017-05-29T17:19:17Z</cp:lastPrinted>
  <dcterms:created xsi:type="dcterms:W3CDTF">2017-01-20T17:06:36Z</dcterms:created>
  <dcterms:modified xsi:type="dcterms:W3CDTF">2017-06-06T16:39:35Z</dcterms:modified>
</cp:coreProperties>
</file>