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25801a347c124a9/VUU/"/>
    </mc:Choice>
  </mc:AlternateContent>
  <xr:revisionPtr revIDLastSave="1" documentId="8_{348DAA60-0A2F-404C-A713-04F1BB92DBD2}" xr6:coauthVersionLast="47" xr6:coauthVersionMax="47" xr10:uidLastSave="{5C0AD07B-1E26-4B8B-B797-288D8BBC65E6}"/>
  <bookViews>
    <workbookView xWindow="-98" yWindow="-98" windowWidth="20715" windowHeight="13276" activeTab="1" xr2:uid="{4307B3E5-4CEA-41B6-82BB-5F004F0D51A7}"/>
  </bookViews>
  <sheets>
    <sheet name="Cong Approved Budget" sheetId="4" r:id="rId1"/>
    <sheet name="2021-22 Budget 12 months" sheetId="5" r:id="rId2"/>
    <sheet name="Summary" sheetId="1" r:id="rId3"/>
    <sheet name="Pledge spread calcs" sheetId="6" r:id="rId4"/>
    <sheet name="4.22 budget" sheetId="3" state="hidden" r:id="rId5"/>
    <sheet name="Sheet2" sheetId="2" state="hidden" r:id="rId6"/>
  </sheets>
  <definedNames>
    <definedName name="_xlnm.Print_Area" localSheetId="1">'2021-22 Budget 12 months'!$A$1:$I$121</definedName>
    <definedName name="_xlnm.Print_Area" localSheetId="4">'4.22 budget'!$A$5:$N$123</definedName>
    <definedName name="_xlnm.Print_Area" localSheetId="0">'Cong Approved Budget'!$A$1:$O$126</definedName>
    <definedName name="_xlnm.Print_Titles" localSheetId="1">'2021-22 Budget 12 months'!$1:$2</definedName>
    <definedName name="_xlnm.Print_Titles" localSheetId="4">'4.22 budget'!$1:$4</definedName>
    <definedName name="_xlnm.Print_Titles" localSheetId="0">'Cong Approved Budget'!$1:$2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79" i="5" l="1"/>
  <c r="W80" i="5"/>
  <c r="W81" i="5"/>
  <c r="W82" i="5"/>
  <c r="W83" i="5"/>
  <c r="W84" i="5"/>
  <c r="W85" i="5"/>
  <c r="W86" i="5"/>
  <c r="W87" i="5"/>
  <c r="W88" i="5"/>
  <c r="W89" i="5"/>
  <c r="W90" i="5"/>
  <c r="W91" i="5"/>
  <c r="W92" i="5"/>
  <c r="W93" i="5"/>
  <c r="W94" i="5"/>
  <c r="W95" i="5"/>
  <c r="W96" i="5"/>
  <c r="W97" i="5"/>
  <c r="W98" i="5"/>
  <c r="W99" i="5"/>
  <c r="W100" i="5"/>
  <c r="W101" i="5"/>
  <c r="W102" i="5"/>
  <c r="W103" i="5"/>
  <c r="W104" i="5"/>
  <c r="W105" i="5"/>
  <c r="W106" i="5"/>
  <c r="W107" i="5"/>
  <c r="W108" i="5"/>
  <c r="W109" i="5"/>
  <c r="W110" i="5"/>
  <c r="W111" i="5"/>
  <c r="W112" i="5"/>
  <c r="W113" i="5"/>
  <c r="W114" i="5"/>
  <c r="W115" i="5"/>
  <c r="W116" i="5"/>
  <c r="W117" i="5"/>
  <c r="W118" i="5"/>
  <c r="W119" i="5"/>
  <c r="W120" i="5"/>
  <c r="W6" i="5"/>
  <c r="W7" i="5"/>
  <c r="W8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6" i="5"/>
  <c r="W47" i="5"/>
  <c r="W48" i="5"/>
  <c r="W49" i="5"/>
  <c r="W50" i="5"/>
  <c r="W51" i="5"/>
  <c r="W52" i="5"/>
  <c r="W53" i="5"/>
  <c r="W54" i="5"/>
  <c r="W55" i="5"/>
  <c r="W56" i="5"/>
  <c r="W57" i="5"/>
  <c r="W58" i="5"/>
  <c r="W59" i="5"/>
  <c r="W60" i="5"/>
  <c r="W61" i="5"/>
  <c r="W62" i="5"/>
  <c r="W63" i="5"/>
  <c r="W64" i="5"/>
  <c r="W65" i="5"/>
  <c r="W66" i="5"/>
  <c r="W67" i="5"/>
  <c r="W68" i="5"/>
  <c r="W69" i="5"/>
  <c r="W70" i="5"/>
  <c r="W71" i="5"/>
  <c r="W72" i="5"/>
  <c r="W73" i="5"/>
  <c r="W74" i="5"/>
  <c r="W75" i="5"/>
  <c r="W76" i="5"/>
  <c r="W77" i="5"/>
  <c r="E13" i="6"/>
  <c r="F13" i="6"/>
  <c r="G13" i="6"/>
  <c r="H13" i="6"/>
  <c r="I13" i="6"/>
  <c r="J13" i="6"/>
  <c r="K13" i="6"/>
  <c r="L13" i="6"/>
  <c r="M13" i="6"/>
  <c r="N13" i="6"/>
  <c r="O13" i="6"/>
  <c r="P13" i="6"/>
  <c r="F9" i="6"/>
  <c r="G9" i="6"/>
  <c r="H9" i="6"/>
  <c r="I9" i="6"/>
  <c r="J9" i="6"/>
  <c r="K9" i="6"/>
  <c r="L9" i="6"/>
  <c r="M9" i="6"/>
  <c r="N9" i="6"/>
  <c r="O9" i="6"/>
  <c r="P9" i="6"/>
  <c r="Q9" i="6"/>
  <c r="E9" i="6"/>
  <c r="F8" i="6"/>
  <c r="G8" i="6"/>
  <c r="H8" i="6"/>
  <c r="I8" i="6"/>
  <c r="J8" i="6"/>
  <c r="K8" i="6"/>
  <c r="L8" i="6"/>
  <c r="M8" i="6"/>
  <c r="N8" i="6"/>
  <c r="O8" i="6"/>
  <c r="P8" i="6"/>
  <c r="E8" i="6"/>
  <c r="Q8" i="6" s="1"/>
  <c r="Q13" i="6"/>
  <c r="K98" i="5" l="1"/>
  <c r="L98" i="5"/>
  <c r="M98" i="5"/>
  <c r="N98" i="5"/>
  <c r="O98" i="5"/>
  <c r="P98" i="5"/>
  <c r="Q98" i="5"/>
  <c r="R98" i="5"/>
  <c r="J98" i="5"/>
  <c r="W78" i="5" l="1"/>
  <c r="J10" i="5" l="1"/>
  <c r="K10" i="5" s="1"/>
  <c r="L10" i="5" s="1"/>
  <c r="J11" i="5"/>
  <c r="K11" i="5" s="1"/>
  <c r="J12" i="5"/>
  <c r="K12" i="5" s="1"/>
  <c r="J13" i="5"/>
  <c r="K13" i="5" s="1"/>
  <c r="L13" i="5" s="1"/>
  <c r="J14" i="5"/>
  <c r="K14" i="5" s="1"/>
  <c r="L14" i="5" s="1"/>
  <c r="J15" i="5"/>
  <c r="K15" i="5" s="1"/>
  <c r="J17" i="5"/>
  <c r="K17" i="5" s="1"/>
  <c r="L17" i="5" s="1"/>
  <c r="J18" i="5"/>
  <c r="K19" i="5"/>
  <c r="J20" i="5"/>
  <c r="K20" i="5" s="1"/>
  <c r="J9" i="5"/>
  <c r="K2" i="5"/>
  <c r="L2" i="5" s="1"/>
  <c r="M2" i="5" s="1"/>
  <c r="N2" i="5" s="1"/>
  <c r="O2" i="5" s="1"/>
  <c r="H5" i="5"/>
  <c r="H9" i="5"/>
  <c r="H16" i="5"/>
  <c r="H21" i="5"/>
  <c r="H26" i="5"/>
  <c r="H44" i="5"/>
  <c r="H52" i="5"/>
  <c r="H56" i="5"/>
  <c r="H57" i="5" s="1"/>
  <c r="H63" i="5"/>
  <c r="H83" i="5"/>
  <c r="H84" i="5" s="1"/>
  <c r="H93" i="5"/>
  <c r="H104" i="5"/>
  <c r="H117" i="5" s="1"/>
  <c r="G25" i="1"/>
  <c r="I8" i="1"/>
  <c r="H8" i="1"/>
  <c r="G8" i="1"/>
  <c r="F11" i="1"/>
  <c r="H7" i="1"/>
  <c r="I7" i="1" s="1"/>
  <c r="G28" i="1"/>
  <c r="H28" i="1" s="1"/>
  <c r="G20" i="1"/>
  <c r="H20" i="1" s="1"/>
  <c r="H24" i="1" s="1"/>
  <c r="G6" i="1"/>
  <c r="H6" i="1" s="1"/>
  <c r="I6" i="1" s="1"/>
  <c r="G5" i="1"/>
  <c r="H5" i="1" s="1"/>
  <c r="I5" i="1" s="1"/>
  <c r="G4" i="1"/>
  <c r="H4" i="1" s="1"/>
  <c r="I4" i="1" s="1"/>
  <c r="K16" i="5" l="1"/>
  <c r="L83" i="5"/>
  <c r="L84" i="5" s="1"/>
  <c r="J21" i="5"/>
  <c r="J104" i="5"/>
  <c r="J117" i="5" s="1"/>
  <c r="M94" i="5"/>
  <c r="N94" i="5" s="1"/>
  <c r="O94" i="5" s="1"/>
  <c r="P94" i="5" s="1"/>
  <c r="Q94" i="5" s="1"/>
  <c r="R94" i="5" s="1"/>
  <c r="S94" i="5" s="1"/>
  <c r="T94" i="5" s="1"/>
  <c r="U94" i="5" s="1"/>
  <c r="K26" i="5"/>
  <c r="K52" i="5"/>
  <c r="V51" i="5"/>
  <c r="J26" i="5"/>
  <c r="W26" i="5" s="1"/>
  <c r="J63" i="5"/>
  <c r="K83" i="5"/>
  <c r="K84" i="5" s="1"/>
  <c r="J83" i="5"/>
  <c r="J84" i="5" s="1"/>
  <c r="K18" i="5"/>
  <c r="V36" i="5"/>
  <c r="J16" i="5"/>
  <c r="J52" i="5"/>
  <c r="J93" i="5"/>
  <c r="K44" i="5"/>
  <c r="J44" i="5"/>
  <c r="V74" i="5"/>
  <c r="V72" i="5"/>
  <c r="V40" i="5"/>
  <c r="V115" i="5"/>
  <c r="V111" i="5"/>
  <c r="V88" i="5"/>
  <c r="V105" i="5"/>
  <c r="V114" i="5"/>
  <c r="V70" i="5"/>
  <c r="V113" i="5"/>
  <c r="V101" i="5"/>
  <c r="V79" i="5"/>
  <c r="V112" i="5"/>
  <c r="V109" i="5"/>
  <c r="V98" i="5"/>
  <c r="V87" i="5"/>
  <c r="V68" i="5"/>
  <c r="V60" i="5"/>
  <c r="V108" i="5"/>
  <c r="V97" i="5"/>
  <c r="V86" i="5"/>
  <c r="V103" i="5"/>
  <c r="V99" i="5"/>
  <c r="V95" i="5"/>
  <c r="V91" i="5"/>
  <c r="V41" i="5"/>
  <c r="V81" i="5"/>
  <c r="V47" i="5"/>
  <c r="V78" i="5"/>
  <c r="V75" i="5"/>
  <c r="V67" i="5"/>
  <c r="V32" i="5"/>
  <c r="V31" i="5"/>
  <c r="L20" i="5"/>
  <c r="V77" i="5"/>
  <c r="V73" i="5"/>
  <c r="V65" i="5"/>
  <c r="V49" i="5"/>
  <c r="V38" i="5"/>
  <c r="V14" i="5"/>
  <c r="L11" i="5"/>
  <c r="V48" i="5"/>
  <c r="V34" i="5"/>
  <c r="L19" i="5"/>
  <c r="V45" i="5"/>
  <c r="V30" i="5"/>
  <c r="V10" i="5"/>
  <c r="V53" i="5"/>
  <c r="L15" i="5"/>
  <c r="L12" i="5"/>
  <c r="V37" i="5"/>
  <c r="V33" i="5"/>
  <c r="V29" i="5"/>
  <c r="V13" i="5"/>
  <c r="P2" i="5"/>
  <c r="Q2" i="5" s="1"/>
  <c r="R2" i="5" s="1"/>
  <c r="S2" i="5" s="1"/>
  <c r="T2" i="5" s="1"/>
  <c r="U2" i="5" s="1"/>
  <c r="H69" i="5"/>
  <c r="H27" i="5"/>
  <c r="H25" i="1"/>
  <c r="I25" i="1" s="1"/>
  <c r="H32" i="1"/>
  <c r="H15" i="1" s="1"/>
  <c r="H13" i="1"/>
  <c r="V58" i="5" l="1"/>
  <c r="V12" i="5"/>
  <c r="V56" i="5"/>
  <c r="V119" i="5"/>
  <c r="V118" i="5"/>
  <c r="V94" i="5"/>
  <c r="L16" i="5"/>
  <c r="U83" i="5"/>
  <c r="T83" i="5"/>
  <c r="P83" i="5"/>
  <c r="P84" i="5" s="1"/>
  <c r="U93" i="5"/>
  <c r="R93" i="5"/>
  <c r="O83" i="5"/>
  <c r="O84" i="5" s="1"/>
  <c r="P93" i="5"/>
  <c r="S83" i="5"/>
  <c r="M93" i="5"/>
  <c r="L26" i="5"/>
  <c r="Q44" i="5"/>
  <c r="K104" i="5"/>
  <c r="K117" i="5" s="1"/>
  <c r="V116" i="5"/>
  <c r="L93" i="5"/>
  <c r="M44" i="5"/>
  <c r="L18" i="5"/>
  <c r="K21" i="5"/>
  <c r="V28" i="5"/>
  <c r="T93" i="5"/>
  <c r="L44" i="5"/>
  <c r="O93" i="5"/>
  <c r="R83" i="5"/>
  <c r="R84" i="5" s="1"/>
  <c r="K57" i="5"/>
  <c r="L57" i="5"/>
  <c r="K93" i="5"/>
  <c r="N83" i="5"/>
  <c r="N84" i="5" s="1"/>
  <c r="Q83" i="5"/>
  <c r="Q84" i="5" s="1"/>
  <c r="P44" i="5"/>
  <c r="V107" i="5"/>
  <c r="S93" i="5"/>
  <c r="O44" i="5"/>
  <c r="J27" i="5"/>
  <c r="L52" i="5"/>
  <c r="M83" i="5"/>
  <c r="M84" i="5" s="1"/>
  <c r="J57" i="5"/>
  <c r="J69" i="5" s="1"/>
  <c r="J120" i="5" s="1"/>
  <c r="L63" i="5"/>
  <c r="K9" i="5"/>
  <c r="V89" i="5"/>
  <c r="N93" i="5"/>
  <c r="N44" i="5"/>
  <c r="Q93" i="5"/>
  <c r="K63" i="5"/>
  <c r="V66" i="5"/>
  <c r="V76" i="5"/>
  <c r="V39" i="5"/>
  <c r="V71" i="5"/>
  <c r="V50" i="5"/>
  <c r="H120" i="5"/>
  <c r="V106" i="5"/>
  <c r="V110" i="5"/>
  <c r="V62" i="5"/>
  <c r="V43" i="5"/>
  <c r="V15" i="5"/>
  <c r="V64" i="5"/>
  <c r="V55" i="5"/>
  <c r="V90" i="5"/>
  <c r="V61" i="5"/>
  <c r="V82" i="5"/>
  <c r="V92" i="5"/>
  <c r="V42" i="5"/>
  <c r="V102" i="5"/>
  <c r="V85" i="5"/>
  <c r="V6" i="5"/>
  <c r="V7" i="5"/>
  <c r="V8" i="5"/>
  <c r="H16" i="1"/>
  <c r="T84" i="5" l="1"/>
  <c r="S84" i="5"/>
  <c r="U84" i="5"/>
  <c r="K69" i="5"/>
  <c r="K120" i="5" s="1"/>
  <c r="V80" i="5"/>
  <c r="J121" i="5"/>
  <c r="V93" i="5"/>
  <c r="M26" i="5"/>
  <c r="L69" i="5"/>
  <c r="L9" i="5"/>
  <c r="M52" i="5"/>
  <c r="M57" i="5"/>
  <c r="L104" i="5"/>
  <c r="L117" i="5" s="1"/>
  <c r="M63" i="5"/>
  <c r="K27" i="5"/>
  <c r="L21" i="5"/>
  <c r="R44" i="5"/>
  <c r="M16" i="5"/>
  <c r="H121" i="5"/>
  <c r="J24" i="4"/>
  <c r="F9" i="1"/>
  <c r="L27" i="5" l="1"/>
  <c r="L120" i="5"/>
  <c r="M69" i="5"/>
  <c r="K121" i="5"/>
  <c r="V83" i="5"/>
  <c r="V84" i="5" s="1"/>
  <c r="N16" i="5"/>
  <c r="S44" i="5"/>
  <c r="N57" i="5"/>
  <c r="N52" i="5"/>
  <c r="N63" i="5"/>
  <c r="N26" i="5"/>
  <c r="M21" i="5"/>
  <c r="M9" i="5"/>
  <c r="M104" i="5"/>
  <c r="M117" i="5" s="1"/>
  <c r="G13" i="1"/>
  <c r="I119" i="4"/>
  <c r="I118" i="4"/>
  <c r="J118" i="4" s="1"/>
  <c r="I116" i="4"/>
  <c r="J116" i="4" s="1"/>
  <c r="I115" i="4"/>
  <c r="J115" i="4" s="1"/>
  <c r="I114" i="4"/>
  <c r="J114" i="4" s="1"/>
  <c r="I113" i="4"/>
  <c r="J113" i="4" s="1"/>
  <c r="I112" i="4"/>
  <c r="J112" i="4" s="1"/>
  <c r="I111" i="4"/>
  <c r="J111" i="4" s="1"/>
  <c r="I110" i="4"/>
  <c r="J110" i="4" s="1"/>
  <c r="I109" i="4"/>
  <c r="J109" i="4" s="1"/>
  <c r="I108" i="4"/>
  <c r="J108" i="4" s="1"/>
  <c r="I107" i="4"/>
  <c r="J107" i="4" s="1"/>
  <c r="I106" i="4"/>
  <c r="J106" i="4" s="1"/>
  <c r="N104" i="4"/>
  <c r="N117" i="4" s="1"/>
  <c r="L104" i="4"/>
  <c r="L117" i="4" s="1"/>
  <c r="H104" i="4"/>
  <c r="H117" i="4" s="1"/>
  <c r="I103" i="4"/>
  <c r="J103" i="4" s="1"/>
  <c r="I102" i="4"/>
  <c r="J102" i="4" s="1"/>
  <c r="I101" i="4"/>
  <c r="J101" i="4" s="1"/>
  <c r="I100" i="4"/>
  <c r="I98" i="4"/>
  <c r="J98" i="4" s="1"/>
  <c r="I97" i="4"/>
  <c r="J97" i="4" s="1"/>
  <c r="I96" i="4"/>
  <c r="J96" i="4" s="1"/>
  <c r="I94" i="4"/>
  <c r="N93" i="4"/>
  <c r="L93" i="4"/>
  <c r="I92" i="4"/>
  <c r="J92" i="4" s="1"/>
  <c r="I91" i="4"/>
  <c r="J91" i="4" s="1"/>
  <c r="I90" i="4"/>
  <c r="J90" i="4" s="1"/>
  <c r="I89" i="4"/>
  <c r="J89" i="4" s="1"/>
  <c r="I88" i="4"/>
  <c r="J88" i="4" s="1"/>
  <c r="I87" i="4"/>
  <c r="J87" i="4" s="1"/>
  <c r="H86" i="4"/>
  <c r="H93" i="4" s="1"/>
  <c r="N83" i="4"/>
  <c r="N84" i="4" s="1"/>
  <c r="L83" i="4"/>
  <c r="L84" i="4" s="1"/>
  <c r="H83" i="4"/>
  <c r="H84" i="4" s="1"/>
  <c r="I82" i="4"/>
  <c r="J82" i="4" s="1"/>
  <c r="I81" i="4"/>
  <c r="J81" i="4" s="1"/>
  <c r="I80" i="4"/>
  <c r="J80" i="4" s="1"/>
  <c r="I79" i="4"/>
  <c r="J79" i="4" s="1"/>
  <c r="I78" i="4"/>
  <c r="J78" i="4" s="1"/>
  <c r="I76" i="4"/>
  <c r="J76" i="4" s="1"/>
  <c r="I75" i="4"/>
  <c r="J75" i="4" s="1"/>
  <c r="I74" i="4"/>
  <c r="J74" i="4" s="1"/>
  <c r="I73" i="4"/>
  <c r="J73" i="4" s="1"/>
  <c r="I72" i="4"/>
  <c r="J72" i="4" s="1"/>
  <c r="I71" i="4"/>
  <c r="I68" i="4"/>
  <c r="J68" i="4" s="1"/>
  <c r="I67" i="4"/>
  <c r="J67" i="4" s="1"/>
  <c r="I66" i="4"/>
  <c r="J66" i="4" s="1"/>
  <c r="I65" i="4"/>
  <c r="J65" i="4" s="1"/>
  <c r="N63" i="4"/>
  <c r="L63" i="4"/>
  <c r="H63" i="4"/>
  <c r="I62" i="4"/>
  <c r="J62" i="4" s="1"/>
  <c r="J61" i="4"/>
  <c r="I61" i="4"/>
  <c r="I60" i="4"/>
  <c r="J60" i="4" s="1"/>
  <c r="I59" i="4"/>
  <c r="L57" i="4"/>
  <c r="H57" i="4"/>
  <c r="N56" i="4"/>
  <c r="N57" i="4" s="1"/>
  <c r="I56" i="4"/>
  <c r="J56" i="4" s="1"/>
  <c r="I55" i="4"/>
  <c r="J54" i="4"/>
  <c r="N52" i="4"/>
  <c r="L52" i="4"/>
  <c r="H52" i="4"/>
  <c r="I51" i="4"/>
  <c r="J51" i="4" s="1"/>
  <c r="I50" i="4"/>
  <c r="J50" i="4" s="1"/>
  <c r="I49" i="4"/>
  <c r="J49" i="4" s="1"/>
  <c r="I48" i="4"/>
  <c r="J48" i="4" s="1"/>
  <c r="I47" i="4"/>
  <c r="J47" i="4" s="1"/>
  <c r="I46" i="4"/>
  <c r="N44" i="4"/>
  <c r="L44" i="4"/>
  <c r="H44" i="4"/>
  <c r="I43" i="4"/>
  <c r="J43" i="4" s="1"/>
  <c r="I42" i="4"/>
  <c r="J42" i="4" s="1"/>
  <c r="I41" i="4"/>
  <c r="J41" i="4" s="1"/>
  <c r="I40" i="4"/>
  <c r="J40" i="4" s="1"/>
  <c r="I39" i="4"/>
  <c r="J39" i="4" s="1"/>
  <c r="I38" i="4"/>
  <c r="J38" i="4" s="1"/>
  <c r="I37" i="4"/>
  <c r="J37" i="4" s="1"/>
  <c r="I36" i="4"/>
  <c r="J36" i="4" s="1"/>
  <c r="I35" i="4"/>
  <c r="J34" i="4"/>
  <c r="I33" i="4"/>
  <c r="J33" i="4" s="1"/>
  <c r="I32" i="4"/>
  <c r="J32" i="4" s="1"/>
  <c r="L26" i="4"/>
  <c r="I26" i="4"/>
  <c r="H26" i="4"/>
  <c r="J25" i="4"/>
  <c r="N26" i="4"/>
  <c r="J23" i="4"/>
  <c r="N21" i="4"/>
  <c r="L21" i="4"/>
  <c r="I21" i="4"/>
  <c r="H21" i="4"/>
  <c r="J20" i="4"/>
  <c r="J19" i="4"/>
  <c r="J18" i="4"/>
  <c r="N16" i="4"/>
  <c r="L16" i="4"/>
  <c r="J15" i="4"/>
  <c r="J14" i="4"/>
  <c r="J13" i="4"/>
  <c r="J12" i="4"/>
  <c r="I11" i="4"/>
  <c r="I16" i="4" s="1"/>
  <c r="H11" i="4"/>
  <c r="H16" i="4" s="1"/>
  <c r="L9" i="4"/>
  <c r="I9" i="4"/>
  <c r="H9" i="4"/>
  <c r="J8" i="4"/>
  <c r="J7" i="4"/>
  <c r="J6" i="4"/>
  <c r="E5" i="1" s="1"/>
  <c r="N5" i="4"/>
  <c r="N9" i="4" s="1"/>
  <c r="J5" i="4"/>
  <c r="H69" i="4" l="1"/>
  <c r="L121" i="5"/>
  <c r="M120" i="5"/>
  <c r="M27" i="5"/>
  <c r="O57" i="5"/>
  <c r="O26" i="5"/>
  <c r="N104" i="5"/>
  <c r="N117" i="5" s="1"/>
  <c r="N21" i="5"/>
  <c r="U44" i="5"/>
  <c r="T44" i="5"/>
  <c r="O63" i="5"/>
  <c r="N69" i="5"/>
  <c r="O52" i="5"/>
  <c r="O16" i="5"/>
  <c r="N9" i="5"/>
  <c r="E12" i="1"/>
  <c r="I63" i="4"/>
  <c r="I52" i="4"/>
  <c r="J26" i="4"/>
  <c r="E9" i="1"/>
  <c r="J46" i="4"/>
  <c r="J52" i="4" s="1"/>
  <c r="E22" i="1"/>
  <c r="J59" i="4"/>
  <c r="J63" i="4" s="1"/>
  <c r="J9" i="4"/>
  <c r="E4" i="1"/>
  <c r="G16" i="1"/>
  <c r="J11" i="4"/>
  <c r="J16" i="4" s="1"/>
  <c r="E6" i="1" s="1"/>
  <c r="J21" i="4"/>
  <c r="L27" i="4"/>
  <c r="L69" i="4"/>
  <c r="L120" i="4" s="1"/>
  <c r="I57" i="4"/>
  <c r="I83" i="4"/>
  <c r="I84" i="4" s="1"/>
  <c r="I86" i="4"/>
  <c r="I93" i="4" s="1"/>
  <c r="I104" i="4"/>
  <c r="I117" i="4" s="1"/>
  <c r="H27" i="4"/>
  <c r="I44" i="4"/>
  <c r="I64" i="4"/>
  <c r="J64" i="4" s="1"/>
  <c r="I27" i="4"/>
  <c r="N27" i="4"/>
  <c r="N69" i="4"/>
  <c r="J83" i="4"/>
  <c r="H120" i="4"/>
  <c r="H121" i="4" s="1"/>
  <c r="J35" i="4"/>
  <c r="J44" i="4" s="1"/>
  <c r="J119" i="4"/>
  <c r="E20" i="1" s="1"/>
  <c r="G24" i="1" s="1"/>
  <c r="G32" i="1" s="1"/>
  <c r="G15" i="1" s="1"/>
  <c r="J55" i="4"/>
  <c r="J57" i="4" s="1"/>
  <c r="J100" i="4"/>
  <c r="J104" i="4" s="1"/>
  <c r="J117" i="4" s="1"/>
  <c r="E30" i="1" s="1"/>
  <c r="N120" i="5" l="1"/>
  <c r="M121" i="5"/>
  <c r="N27" i="5"/>
  <c r="O69" i="5"/>
  <c r="P26" i="5"/>
  <c r="P52" i="5"/>
  <c r="O9" i="5"/>
  <c r="O21" i="5"/>
  <c r="P57" i="5"/>
  <c r="O104" i="5"/>
  <c r="O117" i="5" s="1"/>
  <c r="V35" i="5"/>
  <c r="P16" i="5"/>
  <c r="P63" i="5"/>
  <c r="J84" i="4"/>
  <c r="E21" i="1"/>
  <c r="L121" i="4"/>
  <c r="J27" i="4"/>
  <c r="E7" i="1"/>
  <c r="I69" i="4"/>
  <c r="I120" i="4" s="1"/>
  <c r="I121" i="4" s="1"/>
  <c r="J86" i="4"/>
  <c r="J93" i="4" s="1"/>
  <c r="E29" i="1" s="1"/>
  <c r="N120" i="4"/>
  <c r="N121" i="4" s="1"/>
  <c r="J69" i="4"/>
  <c r="N121" i="5" l="1"/>
  <c r="O120" i="5"/>
  <c r="O27" i="5"/>
  <c r="P69" i="5"/>
  <c r="Q16" i="5"/>
  <c r="V44" i="5"/>
  <c r="P21" i="5"/>
  <c r="P104" i="5"/>
  <c r="P117" i="5" s="1"/>
  <c r="Q52" i="5"/>
  <c r="Q63" i="5"/>
  <c r="Q57" i="5"/>
  <c r="P9" i="5"/>
  <c r="Q26" i="5"/>
  <c r="J120" i="4"/>
  <c r="J121" i="4" s="1"/>
  <c r="E25" i="1"/>
  <c r="J7" i="3"/>
  <c r="N7" i="3"/>
  <c r="J8" i="3"/>
  <c r="J9" i="3"/>
  <c r="J10" i="3"/>
  <c r="H11" i="3"/>
  <c r="I11" i="3"/>
  <c r="J11" i="3"/>
  <c r="L11" i="3"/>
  <c r="N11" i="3"/>
  <c r="H13" i="3"/>
  <c r="H18" i="3" s="1"/>
  <c r="H29" i="3" s="1"/>
  <c r="I13" i="3"/>
  <c r="J13" i="3" s="1"/>
  <c r="J18" i="3" s="1"/>
  <c r="J14" i="3"/>
  <c r="J15" i="3"/>
  <c r="J16" i="3"/>
  <c r="J17" i="3"/>
  <c r="L18" i="3"/>
  <c r="N18" i="3"/>
  <c r="J20" i="3"/>
  <c r="J21" i="3"/>
  <c r="J22" i="3"/>
  <c r="H23" i="3"/>
  <c r="I23" i="3"/>
  <c r="J23" i="3"/>
  <c r="L23" i="3"/>
  <c r="N23" i="3"/>
  <c r="J25" i="3"/>
  <c r="J28" i="3" s="1"/>
  <c r="J29" i="3" s="1"/>
  <c r="N25" i="3"/>
  <c r="N28" i="3" s="1"/>
  <c r="N29" i="3" s="1"/>
  <c r="P25" i="3"/>
  <c r="J27" i="3"/>
  <c r="H28" i="3"/>
  <c r="I28" i="3"/>
  <c r="L28" i="3"/>
  <c r="L29" i="3"/>
  <c r="I34" i="3"/>
  <c r="J34" i="3"/>
  <c r="I35" i="3"/>
  <c r="I46" i="3" s="1"/>
  <c r="J35" i="3"/>
  <c r="J36" i="3"/>
  <c r="I37" i="3"/>
  <c r="J37" i="3"/>
  <c r="I38" i="3"/>
  <c r="J38" i="3" s="1"/>
  <c r="I39" i="3"/>
  <c r="J39" i="3"/>
  <c r="I40" i="3"/>
  <c r="J40" i="3" s="1"/>
  <c r="I41" i="3"/>
  <c r="J41" i="3"/>
  <c r="I42" i="3"/>
  <c r="J42" i="3" s="1"/>
  <c r="I43" i="3"/>
  <c r="J43" i="3"/>
  <c r="I44" i="3"/>
  <c r="J44" i="3" s="1"/>
  <c r="I45" i="3"/>
  <c r="J45" i="3"/>
  <c r="H46" i="3"/>
  <c r="H71" i="3" s="1"/>
  <c r="L46" i="3"/>
  <c r="N46" i="3"/>
  <c r="I48" i="3"/>
  <c r="J48" i="3"/>
  <c r="I49" i="3"/>
  <c r="J49" i="3" s="1"/>
  <c r="J54" i="3" s="1"/>
  <c r="P54" i="3" s="1"/>
  <c r="I50" i="3"/>
  <c r="J50" i="3"/>
  <c r="I51" i="3"/>
  <c r="J51" i="3" s="1"/>
  <c r="I52" i="3"/>
  <c r="J52" i="3"/>
  <c r="I53" i="3"/>
  <c r="J53" i="3" s="1"/>
  <c r="H54" i="3"/>
  <c r="L54" i="3"/>
  <c r="N54" i="3"/>
  <c r="J56" i="3"/>
  <c r="I57" i="3"/>
  <c r="J57" i="3"/>
  <c r="I58" i="3"/>
  <c r="J58" i="3"/>
  <c r="N58" i="3"/>
  <c r="H59" i="3"/>
  <c r="I59" i="3"/>
  <c r="J59" i="3"/>
  <c r="P59" i="3" s="1"/>
  <c r="L59" i="3"/>
  <c r="N59" i="3"/>
  <c r="I61" i="3"/>
  <c r="J61" i="3" s="1"/>
  <c r="I62" i="3"/>
  <c r="J62" i="3"/>
  <c r="I63" i="3"/>
  <c r="J63" i="3" s="1"/>
  <c r="I64" i="3"/>
  <c r="J64" i="3"/>
  <c r="H65" i="3"/>
  <c r="L65" i="3"/>
  <c r="N65" i="3"/>
  <c r="I67" i="3"/>
  <c r="J67" i="3"/>
  <c r="P67" i="3"/>
  <c r="I68" i="3"/>
  <c r="J68" i="3" s="1"/>
  <c r="P68" i="3" s="1"/>
  <c r="I69" i="3"/>
  <c r="J69" i="3"/>
  <c r="P69" i="3" s="1"/>
  <c r="I70" i="3"/>
  <c r="J70" i="3"/>
  <c r="P70" i="3"/>
  <c r="L71" i="3"/>
  <c r="I73" i="3"/>
  <c r="J73" i="3"/>
  <c r="I74" i="3"/>
  <c r="J74" i="3" s="1"/>
  <c r="I75" i="3"/>
  <c r="J75" i="3"/>
  <c r="I76" i="3"/>
  <c r="J76" i="3" s="1"/>
  <c r="I77" i="3"/>
  <c r="J77" i="3"/>
  <c r="I78" i="3"/>
  <c r="J78" i="3" s="1"/>
  <c r="I80" i="3"/>
  <c r="I85" i="3" s="1"/>
  <c r="I86" i="3" s="1"/>
  <c r="J80" i="3"/>
  <c r="I81" i="3"/>
  <c r="J81" i="3" s="1"/>
  <c r="I82" i="3"/>
  <c r="J82" i="3"/>
  <c r="I83" i="3"/>
  <c r="J83" i="3" s="1"/>
  <c r="I84" i="3"/>
  <c r="J84" i="3"/>
  <c r="H85" i="3"/>
  <c r="H86" i="3" s="1"/>
  <c r="L85" i="3"/>
  <c r="N85" i="3"/>
  <c r="N86" i="3" s="1"/>
  <c r="L86" i="3"/>
  <c r="H88" i="3"/>
  <c r="H95" i="3" s="1"/>
  <c r="I88" i="3"/>
  <c r="I95" i="3" s="1"/>
  <c r="J88" i="3"/>
  <c r="J95" i="3" s="1"/>
  <c r="I89" i="3"/>
  <c r="J89" i="3"/>
  <c r="I90" i="3"/>
  <c r="J90" i="3"/>
  <c r="I91" i="3"/>
  <c r="J91" i="3"/>
  <c r="I92" i="3"/>
  <c r="J92" i="3"/>
  <c r="I93" i="3"/>
  <c r="J93" i="3"/>
  <c r="I94" i="3"/>
  <c r="J94" i="3"/>
  <c r="L95" i="3"/>
  <c r="N95" i="3"/>
  <c r="I96" i="3"/>
  <c r="I98" i="3"/>
  <c r="J98" i="3"/>
  <c r="I99" i="3"/>
  <c r="J99" i="3"/>
  <c r="I100" i="3"/>
  <c r="J100" i="3"/>
  <c r="I102" i="3"/>
  <c r="J102" i="3"/>
  <c r="J106" i="3" s="1"/>
  <c r="I103" i="3"/>
  <c r="J103" i="3"/>
  <c r="I104" i="3"/>
  <c r="I105" i="3"/>
  <c r="H106" i="3"/>
  <c r="H119" i="3" s="1"/>
  <c r="H122" i="3" s="1"/>
  <c r="I106" i="3"/>
  <c r="I119" i="3" s="1"/>
  <c r="L106" i="3"/>
  <c r="L119" i="3" s="1"/>
  <c r="L122" i="3" s="1"/>
  <c r="L123" i="3" s="1"/>
  <c r="N106" i="3"/>
  <c r="N119" i="3" s="1"/>
  <c r="I108" i="3"/>
  <c r="J108" i="3" s="1"/>
  <c r="I109" i="3"/>
  <c r="J109" i="3"/>
  <c r="I110" i="3"/>
  <c r="J110" i="3" s="1"/>
  <c r="I111" i="3"/>
  <c r="J111" i="3"/>
  <c r="I112" i="3"/>
  <c r="J112" i="3" s="1"/>
  <c r="I113" i="3"/>
  <c r="J113" i="3"/>
  <c r="I114" i="3"/>
  <c r="J114" i="3" s="1"/>
  <c r="I115" i="3"/>
  <c r="J115" i="3"/>
  <c r="I116" i="3"/>
  <c r="J116" i="3" s="1"/>
  <c r="I117" i="3"/>
  <c r="J117" i="3"/>
  <c r="I118" i="3"/>
  <c r="J118" i="3" s="1"/>
  <c r="I120" i="3"/>
  <c r="J120" i="3"/>
  <c r="I121" i="3"/>
  <c r="J121" i="3"/>
  <c r="O121" i="5" l="1"/>
  <c r="P120" i="5"/>
  <c r="P27" i="5"/>
  <c r="Q69" i="5"/>
  <c r="Q9" i="5"/>
  <c r="R52" i="5"/>
  <c r="Q21" i="5"/>
  <c r="R57" i="5"/>
  <c r="Q104" i="5"/>
  <c r="Q117" i="5" s="1"/>
  <c r="R16" i="5"/>
  <c r="R26" i="5"/>
  <c r="R63" i="5"/>
  <c r="J65" i="3"/>
  <c r="P65" i="3" s="1"/>
  <c r="P46" i="3"/>
  <c r="H123" i="3"/>
  <c r="J46" i="3"/>
  <c r="J119" i="3"/>
  <c r="J85" i="3"/>
  <c r="J86" i="3" s="1"/>
  <c r="I54" i="3"/>
  <c r="I71" i="3" s="1"/>
  <c r="I122" i="3" s="1"/>
  <c r="I18" i="3"/>
  <c r="I29" i="3" s="1"/>
  <c r="I123" i="3" s="1"/>
  <c r="I66" i="3"/>
  <c r="J66" i="3" s="1"/>
  <c r="P66" i="3" s="1"/>
  <c r="N71" i="3"/>
  <c r="N122" i="3" s="1"/>
  <c r="N123" i="3" s="1"/>
  <c r="N126" i="3" s="1"/>
  <c r="I65" i="3"/>
  <c r="E35" i="2"/>
  <c r="E26" i="2"/>
  <c r="E22" i="2"/>
  <c r="E34" i="2" s="1"/>
  <c r="E36" i="2" s="1"/>
  <c r="E14" i="2"/>
  <c r="E9" i="2"/>
  <c r="E16" i="2" s="1"/>
  <c r="F8" i="1"/>
  <c r="I20" i="1"/>
  <c r="I24" i="1" s="1"/>
  <c r="I28" i="1"/>
  <c r="D30" i="1"/>
  <c r="E24" i="1"/>
  <c r="E32" i="1" s="1"/>
  <c r="E15" i="1" s="1"/>
  <c r="D24" i="1"/>
  <c r="C24" i="1"/>
  <c r="C32" i="1" s="1"/>
  <c r="C15" i="1" s="1"/>
  <c r="F24" i="1"/>
  <c r="D8" i="1"/>
  <c r="D13" i="1" s="1"/>
  <c r="C8" i="1"/>
  <c r="C7" i="1"/>
  <c r="C5" i="1"/>
  <c r="Q120" i="5" l="1"/>
  <c r="P121" i="5"/>
  <c r="Q27" i="5"/>
  <c r="R69" i="5"/>
  <c r="R104" i="5"/>
  <c r="R117" i="5"/>
  <c r="S52" i="5"/>
  <c r="S63" i="5"/>
  <c r="S57" i="5"/>
  <c r="R9" i="5"/>
  <c r="S26" i="5"/>
  <c r="S16" i="5"/>
  <c r="R21" i="5"/>
  <c r="J122" i="3"/>
  <c r="J123" i="3" s="1"/>
  <c r="J71" i="3"/>
  <c r="E28" i="2"/>
  <c r="C13" i="1"/>
  <c r="C16" i="1" s="1"/>
  <c r="I32" i="1"/>
  <c r="I15" i="1" s="1"/>
  <c r="E8" i="1"/>
  <c r="E13" i="1" s="1"/>
  <c r="E16" i="1" s="1"/>
  <c r="D32" i="1"/>
  <c r="D15" i="1" s="1"/>
  <c r="D16" i="1" s="1"/>
  <c r="F13" i="1"/>
  <c r="Q121" i="5" l="1"/>
  <c r="R120" i="5"/>
  <c r="R27" i="5"/>
  <c r="T16" i="5"/>
  <c r="S69" i="5"/>
  <c r="T52" i="5"/>
  <c r="S9" i="5"/>
  <c r="S21" i="5"/>
  <c r="U57" i="5"/>
  <c r="T57" i="5"/>
  <c r="V54" i="5"/>
  <c r="S104" i="5"/>
  <c r="S117" i="5" s="1"/>
  <c r="U63" i="5"/>
  <c r="T63" i="5"/>
  <c r="T26" i="5"/>
  <c r="V59" i="5"/>
  <c r="F32" i="1"/>
  <c r="R121" i="5" l="1"/>
  <c r="S27" i="5"/>
  <c r="S120" i="5"/>
  <c r="V63" i="5"/>
  <c r="V57" i="5"/>
  <c r="U16" i="5"/>
  <c r="V11" i="5"/>
  <c r="T9" i="5"/>
  <c r="V46" i="5"/>
  <c r="U52" i="5"/>
  <c r="U69" i="5" s="1"/>
  <c r="U26" i="5"/>
  <c r="T69" i="5"/>
  <c r="T104" i="5"/>
  <c r="T117" i="5" s="1"/>
  <c r="T21" i="5"/>
  <c r="F15" i="1"/>
  <c r="F16" i="1" s="1"/>
  <c r="I13" i="1" s="1"/>
  <c r="S121" i="5" l="1"/>
  <c r="T120" i="5"/>
  <c r="T27" i="5"/>
  <c r="V16" i="5"/>
  <c r="V26" i="5"/>
  <c r="U9" i="5"/>
  <c r="V5" i="5"/>
  <c r="W5" i="5" s="1"/>
  <c r="V96" i="5"/>
  <c r="U21" i="5"/>
  <c r="V52" i="5"/>
  <c r="U104" i="5"/>
  <c r="U117" i="5" s="1"/>
  <c r="U120" i="5" s="1"/>
  <c r="V100" i="5"/>
  <c r="R18" i="1"/>
  <c r="R19" i="1" s="1"/>
  <c r="I16" i="1"/>
  <c r="V9" i="5" l="1"/>
  <c r="W9" i="5" s="1"/>
  <c r="T121" i="5"/>
  <c r="U27" i="5"/>
  <c r="V104" i="5"/>
  <c r="V69" i="5"/>
  <c r="V21" i="5"/>
  <c r="U121" i="5" l="1"/>
  <c r="W27" i="5"/>
  <c r="V117" i="5"/>
  <c r="V120" i="5" s="1"/>
  <c r="V27" i="5"/>
  <c r="V121" i="5" l="1"/>
  <c r="W121" i="5" s="1"/>
</calcChain>
</file>

<file path=xl/sharedStrings.xml><?xml version="1.0" encoding="utf-8"?>
<sst xmlns="http://schemas.openxmlformats.org/spreadsheetml/2006/main" count="496" uniqueCount="227">
  <si>
    <t>2018-19</t>
  </si>
  <si>
    <t>Other Contributions</t>
  </si>
  <si>
    <t>Rental Income</t>
  </si>
  <si>
    <t>Other Income</t>
  </si>
  <si>
    <t>Pledge Income</t>
  </si>
  <si>
    <t>One-Time Income</t>
  </si>
  <si>
    <t>Total Income</t>
  </si>
  <si>
    <t>2019-20</t>
  </si>
  <si>
    <t>2020-21</t>
  </si>
  <si>
    <t>Actual</t>
  </si>
  <si>
    <t>Act/Proj</t>
  </si>
  <si>
    <t>One-Time Income - Carryover</t>
  </si>
  <si>
    <t>One-Time Income - Other</t>
  </si>
  <si>
    <t>Carried to next year</t>
  </si>
  <si>
    <t>Budget</t>
  </si>
  <si>
    <t>2021-22</t>
  </si>
  <si>
    <t>Forecast</t>
  </si>
  <si>
    <t>2022-23</t>
  </si>
  <si>
    <t>Mortgage P&amp;I</t>
  </si>
  <si>
    <t>Utilities</t>
  </si>
  <si>
    <t>Property Costs</t>
  </si>
  <si>
    <t>UUA Program Fund</t>
  </si>
  <si>
    <t>Total Fixed Costs</t>
  </si>
  <si>
    <t>Other Admin</t>
  </si>
  <si>
    <t>Programs &amp; Social Action</t>
  </si>
  <si>
    <t>Total Staff Costs</t>
  </si>
  <si>
    <t>Total Expenses</t>
  </si>
  <si>
    <t>Reserves Funding</t>
  </si>
  <si>
    <t>Ministerial Search</t>
  </si>
  <si>
    <t>Surplus (Deficit)</t>
  </si>
  <si>
    <t>Capital Campaign Contributions</t>
  </si>
  <si>
    <t>Capital Campaign Interest</t>
  </si>
  <si>
    <t>Consulting Fees</t>
  </si>
  <si>
    <t>Fundraising Expense</t>
  </si>
  <si>
    <t>Cap Campaign Checking</t>
  </si>
  <si>
    <t>Cap Campaign Money Mkt</t>
  </si>
  <si>
    <t>Capital Campaign Pledge Rev</t>
  </si>
  <si>
    <t>Variance</t>
  </si>
  <si>
    <t>Collected</t>
  </si>
  <si>
    <t>Spent</t>
  </si>
  <si>
    <t>Cons Fees</t>
  </si>
  <si>
    <t>Fundraising</t>
  </si>
  <si>
    <t>Balance</t>
  </si>
  <si>
    <t>per breeze</t>
  </si>
  <si>
    <t>Collected, per Breeze</t>
  </si>
  <si>
    <t>Collected, per Balance Sheet</t>
  </si>
  <si>
    <t>Per Balance Sheet:</t>
  </si>
  <si>
    <t>Recovery Fund</t>
  </si>
  <si>
    <t>INCOME</t>
  </si>
  <si>
    <t>EXPENSES</t>
  </si>
  <si>
    <t>difference</t>
  </si>
  <si>
    <t>PPP</t>
  </si>
  <si>
    <t>Net Income</t>
  </si>
  <si>
    <t>Total Expense</t>
  </si>
  <si>
    <t>610 · Mortgage - Principal</t>
  </si>
  <si>
    <t>600 · Mortgage - Interest</t>
  </si>
  <si>
    <t>Total 580.00 · Programs</t>
  </si>
  <si>
    <t>580.0511 · Stewardship</t>
  </si>
  <si>
    <t>580.0510 · Special Funds</t>
  </si>
  <si>
    <t>580.0509 · Newsletter</t>
  </si>
  <si>
    <t>580.0508 · Membership</t>
  </si>
  <si>
    <t>580.0507 · Leadership Dev Council</t>
  </si>
  <si>
    <t>580.0506 · Hospitality/Coffee</t>
  </si>
  <si>
    <t>580.0505 · East Valley UU</t>
  </si>
  <si>
    <t>580.0504 · Community Garden</t>
  </si>
  <si>
    <t>580.0503 · Chalice Circles</t>
  </si>
  <si>
    <t>580.0502 · Caring &amp; Concerns</t>
  </si>
  <si>
    <t>580.0501 · Board of Trustees</t>
  </si>
  <si>
    <t>580.05 · Committees</t>
  </si>
  <si>
    <t>580.04 · Total Social Action</t>
  </si>
  <si>
    <t>580.044 · Valley Interfaith Project (VIP)</t>
  </si>
  <si>
    <t>580.043 · UUJAZ</t>
  </si>
  <si>
    <t>580.042 · I help</t>
  </si>
  <si>
    <t>580.041 · Contrib to Designated Charities</t>
  </si>
  <si>
    <t>580.04 · Social Action</t>
  </si>
  <si>
    <t>580.03 · Faith Formation</t>
  </si>
  <si>
    <t>580.02 · Music</t>
  </si>
  <si>
    <t>580.01 · Worship</t>
  </si>
  <si>
    <t>580.00 · Programs</t>
  </si>
  <si>
    <t>Fair Share $34,903 requested by UUA</t>
  </si>
  <si>
    <t>570.00 · UUA Annual Program Fund</t>
  </si>
  <si>
    <t>Total 560.00 · Administration</t>
  </si>
  <si>
    <t>560.07 · Administrative Other</t>
  </si>
  <si>
    <t>560.06 · Merchant Fees</t>
  </si>
  <si>
    <t>560.05 · Accounting &amp; Legal Fees</t>
  </si>
  <si>
    <t>560.04 · Other Office Equipment</t>
  </si>
  <si>
    <t>560.03 · Computer Software/Hardware</t>
  </si>
  <si>
    <t>will be reduced shortly</t>
  </si>
  <si>
    <t>560.02 · Copier Lease</t>
  </si>
  <si>
    <t>560.01 · Office Supplies &amp; Postage</t>
  </si>
  <si>
    <t>560.00 · Administration</t>
  </si>
  <si>
    <t>Total 550.00 · Property</t>
  </si>
  <si>
    <t>Total 550.07 · Utilities</t>
  </si>
  <si>
    <t>550.075 ·  Water</t>
  </si>
  <si>
    <t>550.074 ·  Waste Disposal</t>
  </si>
  <si>
    <t>550.073 ·  Phone/Internet</t>
  </si>
  <si>
    <t>550.072 ·  Elec - Santuary</t>
  </si>
  <si>
    <t>550.071 ·  Elec - Office/Class</t>
  </si>
  <si>
    <t>550.07 · Utilities</t>
  </si>
  <si>
    <t>3 AC units</t>
  </si>
  <si>
    <t>550.06 · Major Unexpected Repairs</t>
  </si>
  <si>
    <t>550.05 · Insurance - Prop/Liab/Theft</t>
  </si>
  <si>
    <t>550.04 · Fire Panel/Monitoring</t>
  </si>
  <si>
    <t>550.03 · Property Maintenance Supplies</t>
  </si>
  <si>
    <t>$12000 for landscaper, 6000 for irrigation repairs</t>
  </si>
  <si>
    <t>550.02 · Land Maintenance</t>
  </si>
  <si>
    <t>550.01 · Routine Repairs &amp; Maintenance</t>
  </si>
  <si>
    <t>550.00 · Property</t>
  </si>
  <si>
    <t>Total 500.00 · Staff Expenses</t>
  </si>
  <si>
    <t>535.00 · Worker's Compensation</t>
  </si>
  <si>
    <t>534.00 · Ministerial Search Committee</t>
  </si>
  <si>
    <t>532.00 · Recognition/Staff &amp; Volunteers</t>
  </si>
  <si>
    <t>530.00 · Direct Deposit Fees</t>
  </si>
  <si>
    <t>525.00 · FICA/Medicare</t>
  </si>
  <si>
    <t>Total 520.00 · Professional Expenses</t>
  </si>
  <si>
    <t>520.07 · FF Professional Expenses</t>
  </si>
  <si>
    <t>520.06 · Cong Admin Prof Expenses</t>
  </si>
  <si>
    <t>520.04 · Music Director Prof Exp</t>
  </si>
  <si>
    <t>520.01 · Minister Professional Expenses</t>
  </si>
  <si>
    <t>520.00 · Professional Expenses</t>
  </si>
  <si>
    <t>Total 515.00 · Staff Insurance</t>
  </si>
  <si>
    <t>10% increase</t>
  </si>
  <si>
    <t>515.06 · Cong Administrator Medical</t>
  </si>
  <si>
    <t>515.04 · Music Director Medical/Disability</t>
  </si>
  <si>
    <t>515.01 · Minister Medical/Disability</t>
  </si>
  <si>
    <t>515.00 · Staff Insurance</t>
  </si>
  <si>
    <t>Total 510.00 · Staff Pension</t>
  </si>
  <si>
    <t>510.09 · Maintenance Tech Pension</t>
  </si>
  <si>
    <t>510.08 · FF Assistant Pension</t>
  </si>
  <si>
    <t>510.07 · FF Director Pension</t>
  </si>
  <si>
    <t>510.06 · Cong Administrator - Pension</t>
  </si>
  <si>
    <t>510.04 · Music Director Pension</t>
  </si>
  <si>
    <t>510.01 · Minister Pension</t>
  </si>
  <si>
    <t>510.00 · Staff Pension</t>
  </si>
  <si>
    <t>Total 505.00 · Salaries</t>
  </si>
  <si>
    <t>505.12 · FF Child Care</t>
  </si>
  <si>
    <t>505.11 · FF Lead Teachers</t>
  </si>
  <si>
    <t>505.10 · Tech Booth Supervisor</t>
  </si>
  <si>
    <t>505.09 · Maintenance Tech</t>
  </si>
  <si>
    <t>505.08 · FF Assistant</t>
  </si>
  <si>
    <t>53,400 mid range, 61,200 high, 13 years in the position</t>
  </si>
  <si>
    <t>505.07 · FF Director Salary</t>
  </si>
  <si>
    <t>505.06 · Congr Administrator - Salary</t>
  </si>
  <si>
    <t>505.05 · Accompanist Salary</t>
  </si>
  <si>
    <t>505.04 · Music Director Salary</t>
  </si>
  <si>
    <t>505.03 · Minister in Lieu of FICA</t>
  </si>
  <si>
    <t>expenses from 2 homes</t>
  </si>
  <si>
    <t>505.02 · Minister Housing</t>
  </si>
  <si>
    <t>505.01 · Minister Salary</t>
  </si>
  <si>
    <t>505.00 · Salaries</t>
  </si>
  <si>
    <t>500.00 · Staff Expenses</t>
  </si>
  <si>
    <t>Expense</t>
  </si>
  <si>
    <t>Estimates</t>
  </si>
  <si>
    <t>Total 420.00 · One Time Income</t>
  </si>
  <si>
    <t>420.02 · PPP/SBA Grants</t>
  </si>
  <si>
    <t>Reserve Fund</t>
  </si>
  <si>
    <t>420.01 · Carry over from prior year</t>
  </si>
  <si>
    <t>420.00 · One Time Income</t>
  </si>
  <si>
    <t>Total 410.00 · Miscellaneous</t>
  </si>
  <si>
    <t>410.03 · Miscellaneous Income</t>
  </si>
  <si>
    <t>410.02 · Interest Income</t>
  </si>
  <si>
    <t>410.01 · FUUNd Together</t>
  </si>
  <si>
    <t>410.00 · Miscellaneous</t>
  </si>
  <si>
    <t>Total 405.00 · Rental Income</t>
  </si>
  <si>
    <t>405.05 · Occasional</t>
  </si>
  <si>
    <t>405.04 · Nefesh Soul</t>
  </si>
  <si>
    <t>we will have a renter sooon</t>
  </si>
  <si>
    <t>405.03 · Counselor</t>
  </si>
  <si>
    <t>405.02 · Adobe Utilities</t>
  </si>
  <si>
    <t>405.01 · Adobe School</t>
  </si>
  <si>
    <t>405.00 · Rental Income</t>
  </si>
  <si>
    <t>Total 400.00 · Contributions</t>
  </si>
  <si>
    <t>400.04 · One time contributions</t>
  </si>
  <si>
    <t>400.03 · Contributions - Unnamed</t>
  </si>
  <si>
    <t>did anyone get a firmer number?</t>
  </si>
  <si>
    <t>400.02 · Contributions - Named</t>
  </si>
  <si>
    <t>400.01 · Pledges Operating</t>
  </si>
  <si>
    <t>400.00 · Contributions</t>
  </si>
  <si>
    <t>Income</t>
  </si>
  <si>
    <t>Annual Budget 2021-22</t>
  </si>
  <si>
    <t>Annual Budget 2020-21</t>
  </si>
  <si>
    <t>Est FYE Jun 2021</t>
  </si>
  <si>
    <t>Est Mar-Jun</t>
  </si>
  <si>
    <t>Actual Jul-Feb 2021</t>
  </si>
  <si>
    <t>2021-22 Budget Proposed</t>
  </si>
  <si>
    <t xml:space="preserve"> </t>
  </si>
  <si>
    <t>Total 580.00 · Programs &amp; Social Action</t>
  </si>
  <si>
    <t>2023-24</t>
  </si>
  <si>
    <t>2024-25</t>
  </si>
  <si>
    <t>Reserve to carry over to next year</t>
  </si>
  <si>
    <t>This budget was proposed by the finance team, adjusted slightly by the Board, and approved for</t>
  </si>
  <si>
    <t>Valley Unitarian Universalist Congregation</t>
  </si>
  <si>
    <t>changed by amendment at 6.6 meeting - $5,900 to $10000</t>
  </si>
  <si>
    <t>changed by amendment at 6.6 meeting - $21,100 to $17,000</t>
  </si>
  <si>
    <t>Cong Approved budget</t>
  </si>
  <si>
    <t>Total</t>
  </si>
  <si>
    <t xml:space="preserve">2021-22 Budget </t>
  </si>
  <si>
    <t>2021-22 Budget</t>
  </si>
  <si>
    <t>recommendation to the congregation on May 12, 2021.  The budget was proposed to the congregation</t>
  </si>
  <si>
    <t>for approval on June 6, 2021, at the Annual Meeting, and approved as above (see notes).</t>
  </si>
  <si>
    <t>Reallocation of $500 from Child Care Salaries to FF Programs at request of DFF/Sr. Minister Interim.</t>
  </si>
  <si>
    <t>increased by $500 (from Child Care salaries) per M Beaudoin/F Wooden</t>
  </si>
  <si>
    <t>reduced by $500 (added to Programs-Faith Formation) per M Beaudoin/F Wooden</t>
  </si>
  <si>
    <t>reallocated principal &amp; interest based on actual spread</t>
  </si>
  <si>
    <t>Notes</t>
  </si>
  <si>
    <t>Jul 18</t>
  </si>
  <si>
    <t>Aug 18</t>
  </si>
  <si>
    <t>Sep 18</t>
  </si>
  <si>
    <t>Oct 18</t>
  </si>
  <si>
    <t>Nov 18</t>
  </si>
  <si>
    <t>Dec 18</t>
  </si>
  <si>
    <t>Jan 19</t>
  </si>
  <si>
    <t>Feb 19</t>
  </si>
  <si>
    <t>Mar 19</t>
  </si>
  <si>
    <t>Apr 19</t>
  </si>
  <si>
    <t>May 19</t>
  </si>
  <si>
    <t>Jun 19</t>
  </si>
  <si>
    <t>TOTAL</t>
  </si>
  <si>
    <t>Pledges Operating</t>
  </si>
  <si>
    <t>2018-2019</t>
  </si>
  <si>
    <t>2017-2018</t>
  </si>
  <si>
    <t>2019-2020</t>
  </si>
  <si>
    <t>2020-2021</t>
  </si>
  <si>
    <t>Weighted Average</t>
  </si>
  <si>
    <t>4 year average with</t>
  </si>
  <si>
    <t>current yr 2x weight</t>
  </si>
  <si>
    <t>Budget Spread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</si>
</sst>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#,##0.00;\-#,##0.00"/>
    <numFmt numFmtId="166" formatCode="[$-409]mmm\-yy;@"/>
    <numFmt numFmtId="169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theme="9" tint="-0.249977111117893"/>
      <name val="Arial"/>
      <family val="2"/>
    </font>
    <font>
      <sz val="13"/>
      <color theme="1"/>
      <name val="Arial"/>
      <family val="2"/>
    </font>
    <font>
      <b/>
      <sz val="16"/>
      <color theme="1"/>
      <name val="Arial"/>
      <family val="2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8">
    <xf numFmtId="0" fontId="0" fillId="0" borderId="0" xfId="0"/>
    <xf numFmtId="44" fontId="0" fillId="0" borderId="0" xfId="1" applyFont="1"/>
    <xf numFmtId="164" fontId="0" fillId="0" borderId="0" xfId="1" applyNumberFormat="1" applyFont="1"/>
    <xf numFmtId="164" fontId="0" fillId="0" borderId="1" xfId="1" applyNumberFormat="1" applyFont="1" applyBorder="1"/>
    <xf numFmtId="164" fontId="3" fillId="0" borderId="0" xfId="1" applyNumberFormat="1" applyFont="1"/>
    <xf numFmtId="0" fontId="3" fillId="0" borderId="0" xfId="0" applyFont="1"/>
    <xf numFmtId="44" fontId="0" fillId="0" borderId="0" xfId="1" applyFont="1" applyBorder="1"/>
    <xf numFmtId="0" fontId="0" fillId="0" borderId="0" xfId="0" applyBorder="1"/>
    <xf numFmtId="44" fontId="0" fillId="0" borderId="2" xfId="1" applyFont="1" applyBorder="1"/>
    <xf numFmtId="44" fontId="0" fillId="0" borderId="1" xfId="0" applyNumberFormat="1" applyBorder="1"/>
    <xf numFmtId="164" fontId="2" fillId="0" borderId="0" xfId="1" applyNumberFormat="1" applyFont="1"/>
    <xf numFmtId="0" fontId="0" fillId="0" borderId="0" xfId="0" applyFill="1"/>
    <xf numFmtId="0" fontId="2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164" fontId="0" fillId="0" borderId="8" xfId="1" applyNumberFormat="1" applyFont="1" applyFill="1" applyBorder="1"/>
    <xf numFmtId="164" fontId="0" fillId="0" borderId="9" xfId="1" applyNumberFormat="1" applyFont="1" applyFill="1" applyBorder="1"/>
    <xf numFmtId="164" fontId="0" fillId="0" borderId="0" xfId="1" applyNumberFormat="1" applyFont="1" applyFill="1"/>
    <xf numFmtId="0" fontId="3" fillId="0" borderId="0" xfId="0" applyFont="1" applyFill="1"/>
    <xf numFmtId="164" fontId="3" fillId="0" borderId="8" xfId="1" applyNumberFormat="1" applyFont="1" applyFill="1" applyBorder="1" applyAlignment="1">
      <alignment horizontal="left" indent="1"/>
    </xf>
    <xf numFmtId="164" fontId="3" fillId="0" borderId="9" xfId="1" applyNumberFormat="1" applyFont="1" applyFill="1" applyBorder="1"/>
    <xf numFmtId="164" fontId="0" fillId="0" borderId="10" xfId="1" applyNumberFormat="1" applyFont="1" applyFill="1" applyBorder="1"/>
    <xf numFmtId="164" fontId="0" fillId="0" borderId="11" xfId="1" applyNumberFormat="1" applyFont="1" applyFill="1" applyBorder="1"/>
    <xf numFmtId="164" fontId="0" fillId="0" borderId="13" xfId="1" applyNumberFormat="1" applyFont="1" applyFill="1" applyBorder="1"/>
    <xf numFmtId="164" fontId="3" fillId="0" borderId="14" xfId="1" applyNumberFormat="1" applyFont="1" applyFill="1" applyBorder="1"/>
    <xf numFmtId="164" fontId="0" fillId="0" borderId="15" xfId="1" applyNumberFormat="1" applyFont="1" applyFill="1" applyBorder="1"/>
    <xf numFmtId="164" fontId="0" fillId="0" borderId="16" xfId="1" applyNumberFormat="1" applyFont="1" applyFill="1" applyBorder="1"/>
    <xf numFmtId="0" fontId="0" fillId="3" borderId="0" xfId="0" applyFill="1"/>
    <xf numFmtId="0" fontId="2" fillId="3" borderId="0" xfId="0" applyFont="1" applyFill="1" applyAlignment="1">
      <alignment horizontal="center"/>
    </xf>
    <xf numFmtId="164" fontId="0" fillId="3" borderId="0" xfId="1" applyNumberFormat="1" applyFont="1" applyFill="1"/>
    <xf numFmtId="164" fontId="3" fillId="3" borderId="0" xfId="1" applyNumberFormat="1" applyFont="1" applyFill="1"/>
    <xf numFmtId="0" fontId="3" fillId="3" borderId="0" xfId="0" applyFont="1" applyFill="1"/>
    <xf numFmtId="164" fontId="2" fillId="3" borderId="0" xfId="1" applyNumberFormat="1" applyFont="1" applyFill="1"/>
    <xf numFmtId="44" fontId="0" fillId="3" borderId="0" xfId="1" applyFont="1" applyFill="1"/>
    <xf numFmtId="44" fontId="0" fillId="3" borderId="2" xfId="1" applyFont="1" applyFill="1" applyBorder="1"/>
    <xf numFmtId="0" fontId="2" fillId="3" borderId="0" xfId="0" applyFont="1" applyFill="1" applyBorder="1" applyAlignment="1">
      <alignment horizontal="center"/>
    </xf>
    <xf numFmtId="9" fontId="0" fillId="3" borderId="0" xfId="0" applyNumberFormat="1" applyFill="1"/>
    <xf numFmtId="4" fontId="0" fillId="0" borderId="0" xfId="0" applyNumberFormat="1"/>
    <xf numFmtId="165" fontId="5" fillId="0" borderId="17" xfId="0" applyNumberFormat="1" applyFont="1" applyBorder="1"/>
    <xf numFmtId="165" fontId="5" fillId="0" borderId="0" xfId="0" applyNumberFormat="1" applyFont="1"/>
    <xf numFmtId="49" fontId="5" fillId="0" borderId="0" xfId="0" applyNumberFormat="1" applyFont="1"/>
    <xf numFmtId="0" fontId="2" fillId="0" borderId="0" xfId="0" applyFont="1"/>
    <xf numFmtId="165" fontId="5" fillId="0" borderId="18" xfId="0" applyNumberFormat="1" applyFont="1" applyBorder="1"/>
    <xf numFmtId="165" fontId="5" fillId="0" borderId="4" xfId="0" applyNumberFormat="1" applyFont="1" applyBorder="1"/>
    <xf numFmtId="165" fontId="6" fillId="0" borderId="0" xfId="0" applyNumberFormat="1" applyFont="1"/>
    <xf numFmtId="165" fontId="6" fillId="2" borderId="0" xfId="0" applyNumberFormat="1" applyFont="1" applyFill="1"/>
    <xf numFmtId="165" fontId="5" fillId="4" borderId="0" xfId="0" applyNumberFormat="1" applyFont="1" applyFill="1"/>
    <xf numFmtId="165" fontId="6" fillId="0" borderId="12" xfId="0" applyNumberFormat="1" applyFont="1" applyBorder="1"/>
    <xf numFmtId="165" fontId="6" fillId="4" borderId="0" xfId="0" applyNumberFormat="1" applyFont="1" applyFill="1"/>
    <xf numFmtId="39" fontId="0" fillId="0" borderId="0" xfId="0" applyNumberFormat="1"/>
    <xf numFmtId="165" fontId="7" fillId="4" borderId="0" xfId="0" applyNumberFormat="1" applyFont="1" applyFill="1"/>
    <xf numFmtId="165" fontId="6" fillId="0" borderId="4" xfId="0" applyNumberFormat="1" applyFont="1" applyBorder="1"/>
    <xf numFmtId="49" fontId="5" fillId="0" borderId="19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Continuous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164" fontId="0" fillId="5" borderId="0" xfId="1" applyNumberFormat="1" applyFont="1" applyFill="1"/>
    <xf numFmtId="164" fontId="0" fillId="5" borderId="0" xfId="1" applyNumberFormat="1" applyFont="1" applyFill="1" applyAlignment="1">
      <alignment horizontal="centerContinuous"/>
    </xf>
    <xf numFmtId="164" fontId="5" fillId="5" borderId="19" xfId="1" applyNumberFormat="1" applyFont="1" applyFill="1" applyBorder="1" applyAlignment="1">
      <alignment horizontal="center"/>
    </xf>
    <xf numFmtId="164" fontId="6" fillId="5" borderId="0" xfId="1" applyNumberFormat="1" applyFont="1" applyFill="1"/>
    <xf numFmtId="164" fontId="5" fillId="5" borderId="4" xfId="1" applyNumberFormat="1" applyFont="1" applyFill="1" applyBorder="1"/>
    <xf numFmtId="164" fontId="6" fillId="5" borderId="12" xfId="1" applyNumberFormat="1" applyFont="1" applyFill="1" applyBorder="1"/>
    <xf numFmtId="164" fontId="5" fillId="5" borderId="0" xfId="1" applyNumberFormat="1" applyFont="1" applyFill="1"/>
    <xf numFmtId="164" fontId="6" fillId="5" borderId="4" xfId="1" applyNumberFormat="1" applyFont="1" applyFill="1" applyBorder="1"/>
    <xf numFmtId="164" fontId="7" fillId="5" borderId="0" xfId="1" applyNumberFormat="1" applyFont="1" applyFill="1"/>
    <xf numFmtId="0" fontId="10" fillId="0" borderId="0" xfId="0" applyFont="1" applyAlignment="1">
      <alignment horizontal="left" vertical="top" wrapText="1"/>
    </xf>
    <xf numFmtId="164" fontId="11" fillId="0" borderId="9" xfId="1" applyNumberFormat="1" applyFont="1" applyFill="1" applyBorder="1"/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164" fontId="0" fillId="0" borderId="22" xfId="1" applyNumberFormat="1" applyFont="1" applyFill="1" applyBorder="1"/>
    <xf numFmtId="164" fontId="3" fillId="0" borderId="22" xfId="1" applyNumberFormat="1" applyFont="1" applyFill="1" applyBorder="1"/>
    <xf numFmtId="164" fontId="0" fillId="0" borderId="23" xfId="1" applyNumberFormat="1" applyFont="1" applyFill="1" applyBorder="1"/>
    <xf numFmtId="164" fontId="0" fillId="0" borderId="24" xfId="1" applyNumberFormat="1" applyFont="1" applyFill="1" applyBorder="1"/>
    <xf numFmtId="164" fontId="3" fillId="0" borderId="25" xfId="1" applyNumberFormat="1" applyFont="1" applyFill="1" applyBorder="1"/>
    <xf numFmtId="164" fontId="0" fillId="0" borderId="26" xfId="1" applyNumberFormat="1" applyFont="1" applyFill="1" applyBorder="1"/>
    <xf numFmtId="0" fontId="2" fillId="5" borderId="20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164" fontId="0" fillId="5" borderId="22" xfId="1" applyNumberFormat="1" applyFont="1" applyFill="1" applyBorder="1"/>
    <xf numFmtId="164" fontId="3" fillId="5" borderId="22" xfId="1" applyNumberFormat="1" applyFont="1" applyFill="1" applyBorder="1"/>
    <xf numFmtId="164" fontId="4" fillId="5" borderId="22" xfId="1" applyNumberFormat="1" applyFont="1" applyFill="1" applyBorder="1"/>
    <xf numFmtId="164" fontId="0" fillId="5" borderId="23" xfId="1" applyNumberFormat="1" applyFont="1" applyFill="1" applyBorder="1"/>
    <xf numFmtId="164" fontId="0" fillId="5" borderId="24" xfId="1" applyNumberFormat="1" applyFont="1" applyFill="1" applyBorder="1"/>
    <xf numFmtId="164" fontId="3" fillId="5" borderId="25" xfId="1" applyNumberFormat="1" applyFont="1" applyFill="1" applyBorder="1"/>
    <xf numFmtId="164" fontId="0" fillId="5" borderId="26" xfId="1" applyNumberFormat="1" applyFont="1" applyFill="1" applyBorder="1"/>
    <xf numFmtId="164" fontId="3" fillId="0" borderId="8" xfId="1" applyNumberFormat="1" applyFont="1" applyFill="1" applyBorder="1"/>
    <xf numFmtId="164" fontId="0" fillId="0" borderId="27" xfId="1" applyNumberFormat="1" applyFont="1" applyFill="1" applyBorder="1"/>
    <xf numFmtId="164" fontId="3" fillId="0" borderId="28" xfId="1" applyNumberFormat="1" applyFont="1" applyFill="1" applyBorder="1"/>
    <xf numFmtId="164" fontId="12" fillId="5" borderId="0" xfId="1" applyNumberFormat="1" applyFont="1" applyFill="1"/>
    <xf numFmtId="164" fontId="12" fillId="5" borderId="12" xfId="1" applyNumberFormat="1" applyFont="1" applyFill="1" applyBorder="1"/>
    <xf numFmtId="164" fontId="13" fillId="5" borderId="0" xfId="1" applyNumberFormat="1" applyFont="1" applyFill="1"/>
    <xf numFmtId="164" fontId="13" fillId="5" borderId="4" xfId="1" applyNumberFormat="1" applyFont="1" applyFill="1" applyBorder="1"/>
    <xf numFmtId="164" fontId="13" fillId="5" borderId="18" xfId="1" applyNumberFormat="1" applyFont="1" applyFill="1" applyBorder="1"/>
    <xf numFmtId="164" fontId="0" fillId="0" borderId="0" xfId="1" applyNumberFormat="1" applyFont="1" applyAlignment="1">
      <alignment horizontal="centerContinuous"/>
    </xf>
    <xf numFmtId="164" fontId="5" fillId="0" borderId="19" xfId="1" applyNumberFormat="1" applyFont="1" applyBorder="1" applyAlignment="1">
      <alignment horizontal="center"/>
    </xf>
    <xf numFmtId="164" fontId="6" fillId="0" borderId="0" xfId="1" applyNumberFormat="1" applyFont="1"/>
    <xf numFmtId="164" fontId="5" fillId="0" borderId="4" xfId="1" applyNumberFormat="1" applyFont="1" applyBorder="1"/>
    <xf numFmtId="164" fontId="6" fillId="0" borderId="12" xfId="1" applyNumberFormat="1" applyFont="1" applyBorder="1"/>
    <xf numFmtId="164" fontId="5" fillId="0" borderId="0" xfId="1" applyNumberFormat="1" applyFont="1"/>
    <xf numFmtId="164" fontId="6" fillId="0" borderId="4" xfId="1" applyNumberFormat="1" applyFont="1" applyBorder="1"/>
    <xf numFmtId="164" fontId="5" fillId="0" borderId="18" xfId="1" applyNumberFormat="1" applyFont="1" applyBorder="1"/>
    <xf numFmtId="49" fontId="0" fillId="6" borderId="0" xfId="0" applyNumberFormat="1" applyFill="1" applyAlignment="1">
      <alignment horizontal="centerContinuous"/>
    </xf>
    <xf numFmtId="49" fontId="5" fillId="6" borderId="0" xfId="0" applyNumberFormat="1" applyFont="1" applyFill="1" applyAlignment="1">
      <alignment horizontal="center"/>
    </xf>
    <xf numFmtId="165" fontId="6" fillId="6" borderId="0" xfId="0" applyNumberFormat="1" applyFont="1" applyFill="1"/>
    <xf numFmtId="165" fontId="5" fillId="6" borderId="0" xfId="0" applyNumberFormat="1" applyFont="1" applyFill="1"/>
    <xf numFmtId="0" fontId="0" fillId="6" borderId="0" xfId="0" applyFill="1"/>
    <xf numFmtId="0" fontId="15" fillId="3" borderId="0" xfId="0" applyFont="1" applyFill="1"/>
    <xf numFmtId="49" fontId="16" fillId="3" borderId="0" xfId="0" applyNumberFormat="1" applyFont="1" applyFill="1"/>
    <xf numFmtId="49" fontId="16" fillId="3" borderId="0" xfId="0" applyNumberFormat="1" applyFont="1" applyFill="1" applyAlignment="1">
      <alignment horizontal="center"/>
    </xf>
    <xf numFmtId="164" fontId="5" fillId="0" borderId="29" xfId="1" applyNumberFormat="1" applyFont="1" applyBorder="1"/>
    <xf numFmtId="164" fontId="5" fillId="0" borderId="30" xfId="1" applyNumberFormat="1" applyFont="1" applyBorder="1" applyAlignment="1">
      <alignment horizontal="center"/>
    </xf>
    <xf numFmtId="164" fontId="6" fillId="0" borderId="29" xfId="1" applyNumberFormat="1" applyFont="1" applyBorder="1"/>
    <xf numFmtId="164" fontId="6" fillId="0" borderId="29" xfId="1" applyNumberFormat="1" applyFont="1" applyFill="1" applyBorder="1"/>
    <xf numFmtId="164" fontId="5" fillId="0" borderId="31" xfId="1" applyNumberFormat="1" applyFont="1" applyBorder="1"/>
    <xf numFmtId="164" fontId="6" fillId="0" borderId="32" xfId="1" applyNumberFormat="1" applyFont="1" applyBorder="1"/>
    <xf numFmtId="164" fontId="6" fillId="0" borderId="32" xfId="1" applyNumberFormat="1" applyFont="1" applyFill="1" applyBorder="1"/>
    <xf numFmtId="164" fontId="6" fillId="0" borderId="31" xfId="1" applyNumberFormat="1" applyFont="1" applyBorder="1"/>
    <xf numFmtId="164" fontId="5" fillId="0" borderId="33" xfId="1" applyNumberFormat="1" applyFont="1" applyBorder="1"/>
    <xf numFmtId="164" fontId="0" fillId="3" borderId="29" xfId="1" applyNumberFormat="1" applyFont="1" applyFill="1" applyBorder="1"/>
    <xf numFmtId="164" fontId="0" fillId="0" borderId="29" xfId="1" applyNumberFormat="1" applyFont="1" applyFill="1" applyBorder="1"/>
    <xf numFmtId="164" fontId="0" fillId="0" borderId="29" xfId="1" applyNumberFormat="1" applyFont="1" applyBorder="1"/>
    <xf numFmtId="0" fontId="0" fillId="3" borderId="34" xfId="0" applyFill="1" applyBorder="1"/>
    <xf numFmtId="0" fontId="0" fillId="3" borderId="35" xfId="0" applyFill="1" applyBorder="1"/>
    <xf numFmtId="164" fontId="0" fillId="3" borderId="35" xfId="1" applyNumberFormat="1" applyFont="1" applyFill="1" applyBorder="1"/>
    <xf numFmtId="164" fontId="14" fillId="3" borderId="35" xfId="1" applyNumberFormat="1" applyFont="1" applyFill="1" applyBorder="1"/>
    <xf numFmtId="0" fontId="0" fillId="3" borderId="36" xfId="0" applyFill="1" applyBorder="1"/>
    <xf numFmtId="0" fontId="0" fillId="3" borderId="29" xfId="0" applyFill="1" applyBorder="1"/>
    <xf numFmtId="0" fontId="0" fillId="3" borderId="0" xfId="0" applyFill="1" applyBorder="1"/>
    <xf numFmtId="164" fontId="0" fillId="3" borderId="0" xfId="1" applyNumberFormat="1" applyFont="1" applyFill="1" applyBorder="1"/>
    <xf numFmtId="0" fontId="0" fillId="3" borderId="37" xfId="0" applyFill="1" applyBorder="1"/>
    <xf numFmtId="0" fontId="0" fillId="3" borderId="38" xfId="0" applyFill="1" applyBorder="1"/>
    <xf numFmtId="0" fontId="0" fillId="3" borderId="2" xfId="0" applyFill="1" applyBorder="1"/>
    <xf numFmtId="164" fontId="0" fillId="3" borderId="2" xfId="1" applyNumberFormat="1" applyFont="1" applyFill="1" applyBorder="1"/>
    <xf numFmtId="0" fontId="0" fillId="3" borderId="39" xfId="0" applyFill="1" applyBorder="1"/>
    <xf numFmtId="164" fontId="17" fillId="3" borderId="0" xfId="1" applyNumberFormat="1" applyFont="1" applyFill="1"/>
    <xf numFmtId="0" fontId="18" fillId="0" borderId="0" xfId="0" applyFont="1"/>
    <xf numFmtId="0" fontId="19" fillId="0" borderId="0" xfId="0" applyFont="1"/>
    <xf numFmtId="164" fontId="18" fillId="0" borderId="0" xfId="1" applyNumberFormat="1" applyFont="1" applyFill="1"/>
    <xf numFmtId="0" fontId="18" fillId="0" borderId="0" xfId="0" applyFont="1" applyFill="1"/>
    <xf numFmtId="0" fontId="18" fillId="3" borderId="0" xfId="0" applyFont="1" applyFill="1"/>
    <xf numFmtId="164" fontId="0" fillId="0" borderId="0" xfId="1" applyNumberFormat="1" applyFont="1" applyFill="1" applyAlignment="1">
      <alignment horizontal="centerContinuous"/>
    </xf>
    <xf numFmtId="164" fontId="5" fillId="0" borderId="19" xfId="1" applyNumberFormat="1" applyFont="1" applyFill="1" applyBorder="1" applyAlignment="1">
      <alignment horizontal="center"/>
    </xf>
    <xf numFmtId="164" fontId="6" fillId="0" borderId="0" xfId="1" applyNumberFormat="1" applyFont="1" applyFill="1"/>
    <xf numFmtId="164" fontId="5" fillId="0" borderId="4" xfId="1" applyNumberFormat="1" applyFont="1" applyFill="1" applyBorder="1"/>
    <xf numFmtId="0" fontId="19" fillId="0" borderId="0" xfId="0" applyFont="1" applyFill="1"/>
    <xf numFmtId="164" fontId="6" fillId="0" borderId="12" xfId="1" applyNumberFormat="1" applyFont="1" applyFill="1" applyBorder="1"/>
    <xf numFmtId="164" fontId="5" fillId="0" borderId="0" xfId="1" applyNumberFormat="1" applyFont="1" applyFill="1"/>
    <xf numFmtId="164" fontId="6" fillId="0" borderId="4" xfId="1" applyNumberFormat="1" applyFont="1" applyFill="1" applyBorder="1"/>
    <xf numFmtId="164" fontId="12" fillId="0" borderId="0" xfId="1" applyNumberFormat="1" applyFont="1" applyFill="1"/>
    <xf numFmtId="164" fontId="12" fillId="0" borderId="12" xfId="1" applyNumberFormat="1" applyFont="1" applyFill="1" applyBorder="1"/>
    <xf numFmtId="164" fontId="13" fillId="0" borderId="0" xfId="1" applyNumberFormat="1" applyFont="1" applyFill="1"/>
    <xf numFmtId="164" fontId="13" fillId="0" borderId="4" xfId="1" applyNumberFormat="1" applyFont="1" applyFill="1" applyBorder="1"/>
    <xf numFmtId="164" fontId="13" fillId="0" borderId="18" xfId="1" applyNumberFormat="1" applyFont="1" applyFill="1" applyBorder="1"/>
    <xf numFmtId="166" fontId="5" fillId="0" borderId="19" xfId="1" applyNumberFormat="1" applyFont="1" applyFill="1" applyBorder="1" applyAlignment="1">
      <alignment horizontal="center"/>
    </xf>
    <xf numFmtId="164" fontId="0" fillId="0" borderId="0" xfId="1" applyNumberFormat="1" applyFont="1" applyFill="1" applyAlignment="1">
      <alignment horizontal="left"/>
    </xf>
    <xf numFmtId="49" fontId="0" fillId="7" borderId="0" xfId="0" applyNumberFormat="1" applyFill="1" applyAlignment="1">
      <alignment horizontal="centerContinuous"/>
    </xf>
    <xf numFmtId="49" fontId="5" fillId="7" borderId="0" xfId="0" applyNumberFormat="1" applyFont="1" applyFill="1" applyAlignment="1">
      <alignment horizontal="center"/>
    </xf>
    <xf numFmtId="165" fontId="6" fillId="7" borderId="0" xfId="0" applyNumberFormat="1" applyFont="1" applyFill="1"/>
    <xf numFmtId="49" fontId="5" fillId="3" borderId="0" xfId="0" applyNumberFormat="1" applyFont="1" applyFill="1"/>
    <xf numFmtId="164" fontId="13" fillId="3" borderId="0" xfId="1" applyNumberFormat="1" applyFont="1" applyFill="1"/>
    <xf numFmtId="0" fontId="19" fillId="3" borderId="0" xfId="0" applyFont="1" applyFill="1"/>
    <xf numFmtId="0" fontId="2" fillId="3" borderId="0" xfId="0" applyFont="1" applyFill="1"/>
    <xf numFmtId="0" fontId="0" fillId="0" borderId="0" xfId="0" applyFont="1"/>
    <xf numFmtId="37" fontId="10" fillId="0" borderId="0" xfId="0" applyNumberFormat="1" applyFont="1"/>
    <xf numFmtId="0" fontId="10" fillId="0" borderId="0" xfId="0" applyFont="1"/>
    <xf numFmtId="0" fontId="0" fillId="3" borderId="0" xfId="0" applyFont="1" applyFill="1"/>
    <xf numFmtId="0" fontId="0" fillId="0" borderId="0" xfId="0" applyFont="1" applyFill="1"/>
    <xf numFmtId="0" fontId="0" fillId="0" borderId="0" xfId="0" applyAlignment="1">
      <alignment horizontal="center"/>
    </xf>
    <xf numFmtId="49" fontId="5" fillId="0" borderId="0" xfId="0" applyNumberFormat="1" applyFont="1" applyBorder="1" applyAlignment="1">
      <alignment horizontal="center"/>
    </xf>
    <xf numFmtId="164" fontId="20" fillId="0" borderId="0" xfId="1" applyNumberFormat="1" applyFont="1" applyBorder="1"/>
    <xf numFmtId="164" fontId="21" fillId="0" borderId="0" xfId="1" applyNumberFormat="1" applyFont="1" applyBorder="1"/>
    <xf numFmtId="164" fontId="3" fillId="0" borderId="0" xfId="1" applyNumberFormat="1" applyFont="1" applyBorder="1"/>
    <xf numFmtId="164" fontId="21" fillId="0" borderId="0" xfId="1" applyNumberFormat="1" applyFont="1" applyFill="1" applyBorder="1"/>
    <xf numFmtId="169" fontId="3" fillId="0" borderId="0" xfId="2" applyNumberFormat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Summary!$B$4</c:f>
              <c:strCache>
                <c:ptCount val="1"/>
                <c:pt idx="0">
                  <c:v> Pledge Income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Summary!$C$2:$I$3</c:f>
              <c:multiLvlStrCache>
                <c:ptCount val="7"/>
                <c:lvl>
                  <c:pt idx="0">
                    <c:v>2018-19</c:v>
                  </c:pt>
                  <c:pt idx="1">
                    <c:v>2019-20</c:v>
                  </c:pt>
                  <c:pt idx="2">
                    <c:v>2020-21</c:v>
                  </c:pt>
                  <c:pt idx="3">
                    <c:v>2021-22</c:v>
                  </c:pt>
                  <c:pt idx="4">
                    <c:v>2022-23</c:v>
                  </c:pt>
                  <c:pt idx="5">
                    <c:v>2023-24</c:v>
                  </c:pt>
                  <c:pt idx="6">
                    <c:v>2024-25</c:v>
                  </c:pt>
                </c:lvl>
                <c:lvl>
                  <c:pt idx="0">
                    <c:v>Actual</c:v>
                  </c:pt>
                  <c:pt idx="1">
                    <c:v>Actual</c:v>
                  </c:pt>
                  <c:pt idx="2">
                    <c:v>Act/Proj</c:v>
                  </c:pt>
                  <c:pt idx="3">
                    <c:v>Budget</c:v>
                  </c:pt>
                  <c:pt idx="4">
                    <c:v>Forecast</c:v>
                  </c:pt>
                  <c:pt idx="5">
                    <c:v>Forecast</c:v>
                  </c:pt>
                  <c:pt idx="6">
                    <c:v>Forecast</c:v>
                  </c:pt>
                </c:lvl>
              </c:multiLvlStrCache>
            </c:multiLvlStrRef>
          </c:cat>
          <c:val>
            <c:numRef>
              <c:f>Summary!$C$4:$I$4</c:f>
              <c:numCache>
                <c:formatCode>_("$"* #,##0_);_("$"* \(#,##0\);_("$"* "-"??_);_(@_)</c:formatCode>
                <c:ptCount val="7"/>
                <c:pt idx="0">
                  <c:v>425466</c:v>
                </c:pt>
                <c:pt idx="1">
                  <c:v>420047</c:v>
                </c:pt>
                <c:pt idx="2">
                  <c:v>396854.87</c:v>
                </c:pt>
                <c:pt idx="3">
                  <c:v>374400</c:v>
                </c:pt>
                <c:pt idx="4">
                  <c:v>411840.00000000006</c:v>
                </c:pt>
                <c:pt idx="5">
                  <c:v>432432.00000000006</c:v>
                </c:pt>
                <c:pt idx="6">
                  <c:v>454053.60000000009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8-4662-A5F6-E26CA6F5B738}"/>
            </c:ext>
          </c:extLst>
        </c:ser>
        <c:ser>
          <c:idx val="1"/>
          <c:order val="1"/>
          <c:tx>
            <c:strRef>
              <c:f>Summary!$B$5</c:f>
              <c:strCache>
                <c:ptCount val="1"/>
                <c:pt idx="0">
                  <c:v> Other Contributions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Summary!$C$2:$I$3</c:f>
              <c:multiLvlStrCache>
                <c:ptCount val="7"/>
                <c:lvl>
                  <c:pt idx="0">
                    <c:v>2018-19</c:v>
                  </c:pt>
                  <c:pt idx="1">
                    <c:v>2019-20</c:v>
                  </c:pt>
                  <c:pt idx="2">
                    <c:v>2020-21</c:v>
                  </c:pt>
                  <c:pt idx="3">
                    <c:v>2021-22</c:v>
                  </c:pt>
                  <c:pt idx="4">
                    <c:v>2022-23</c:v>
                  </c:pt>
                  <c:pt idx="5">
                    <c:v>2023-24</c:v>
                  </c:pt>
                  <c:pt idx="6">
                    <c:v>2024-25</c:v>
                  </c:pt>
                </c:lvl>
                <c:lvl>
                  <c:pt idx="0">
                    <c:v>Actual</c:v>
                  </c:pt>
                  <c:pt idx="1">
                    <c:v>Actual</c:v>
                  </c:pt>
                  <c:pt idx="2">
                    <c:v>Act/Proj</c:v>
                  </c:pt>
                  <c:pt idx="3">
                    <c:v>Budget</c:v>
                  </c:pt>
                  <c:pt idx="4">
                    <c:v>Forecast</c:v>
                  </c:pt>
                  <c:pt idx="5">
                    <c:v>Forecast</c:v>
                  </c:pt>
                  <c:pt idx="6">
                    <c:v>Forecast</c:v>
                  </c:pt>
                </c:lvl>
              </c:multiLvlStrCache>
            </c:multiLvlStrRef>
          </c:cat>
          <c:val>
            <c:numRef>
              <c:f>Summary!$C$5:$I$5</c:f>
              <c:numCache>
                <c:formatCode>_("$"* #,##0_);_("$"* \(#,##0\);_("$"* "-"??_);_(@_)</c:formatCode>
                <c:ptCount val="7"/>
                <c:pt idx="0">
                  <c:v>58252</c:v>
                </c:pt>
                <c:pt idx="1">
                  <c:v>47442</c:v>
                </c:pt>
                <c:pt idx="2">
                  <c:v>5739.5</c:v>
                </c:pt>
                <c:pt idx="3">
                  <c:v>18255</c:v>
                </c:pt>
                <c:pt idx="4">
                  <c:v>22818.75</c:v>
                </c:pt>
                <c:pt idx="5">
                  <c:v>23959.6875</c:v>
                </c:pt>
                <c:pt idx="6">
                  <c:v>25157.671875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28-4662-A5F6-E26CA6F5B738}"/>
            </c:ext>
          </c:extLst>
        </c:ser>
        <c:ser>
          <c:idx val="2"/>
          <c:order val="2"/>
          <c:tx>
            <c:strRef>
              <c:f>Summary!$B$6</c:f>
              <c:strCache>
                <c:ptCount val="1"/>
                <c:pt idx="0">
                  <c:v> Rental Income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Summary!$C$2:$I$3</c:f>
              <c:multiLvlStrCache>
                <c:ptCount val="7"/>
                <c:lvl>
                  <c:pt idx="0">
                    <c:v>2018-19</c:v>
                  </c:pt>
                  <c:pt idx="1">
                    <c:v>2019-20</c:v>
                  </c:pt>
                  <c:pt idx="2">
                    <c:v>2020-21</c:v>
                  </c:pt>
                  <c:pt idx="3">
                    <c:v>2021-22</c:v>
                  </c:pt>
                  <c:pt idx="4">
                    <c:v>2022-23</c:v>
                  </c:pt>
                  <c:pt idx="5">
                    <c:v>2023-24</c:v>
                  </c:pt>
                  <c:pt idx="6">
                    <c:v>2024-25</c:v>
                  </c:pt>
                </c:lvl>
                <c:lvl>
                  <c:pt idx="0">
                    <c:v>Actual</c:v>
                  </c:pt>
                  <c:pt idx="1">
                    <c:v>Actual</c:v>
                  </c:pt>
                  <c:pt idx="2">
                    <c:v>Act/Proj</c:v>
                  </c:pt>
                  <c:pt idx="3">
                    <c:v>Budget</c:v>
                  </c:pt>
                  <c:pt idx="4">
                    <c:v>Forecast</c:v>
                  </c:pt>
                  <c:pt idx="5">
                    <c:v>Forecast</c:v>
                  </c:pt>
                  <c:pt idx="6">
                    <c:v>Forecast</c:v>
                  </c:pt>
                </c:lvl>
              </c:multiLvlStrCache>
            </c:multiLvlStrRef>
          </c:cat>
          <c:val>
            <c:numRef>
              <c:f>Summary!$C$6:$I$6</c:f>
              <c:numCache>
                <c:formatCode>_("$"* #,##0_);_("$"* \(#,##0\);_("$"* "-"??_);_(@_)</c:formatCode>
                <c:ptCount val="7"/>
                <c:pt idx="0">
                  <c:v>90562</c:v>
                </c:pt>
                <c:pt idx="1">
                  <c:v>92918</c:v>
                </c:pt>
                <c:pt idx="2">
                  <c:v>87682.84</c:v>
                </c:pt>
                <c:pt idx="3">
                  <c:v>87578</c:v>
                </c:pt>
                <c:pt idx="4">
                  <c:v>90205.34</c:v>
                </c:pt>
                <c:pt idx="5">
                  <c:v>94715.607000000004</c:v>
                </c:pt>
                <c:pt idx="6">
                  <c:v>99451.387350000005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28-4662-A5F6-E26CA6F5B738}"/>
            </c:ext>
          </c:extLst>
        </c:ser>
        <c:ser>
          <c:idx val="3"/>
          <c:order val="3"/>
          <c:tx>
            <c:strRef>
              <c:f>Summary!$B$7</c:f>
              <c:strCache>
                <c:ptCount val="1"/>
                <c:pt idx="0">
                  <c:v> Other Income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Summary!$C$2:$I$3</c:f>
              <c:multiLvlStrCache>
                <c:ptCount val="7"/>
                <c:lvl>
                  <c:pt idx="0">
                    <c:v>2018-19</c:v>
                  </c:pt>
                  <c:pt idx="1">
                    <c:v>2019-20</c:v>
                  </c:pt>
                  <c:pt idx="2">
                    <c:v>2020-21</c:v>
                  </c:pt>
                  <c:pt idx="3">
                    <c:v>2021-22</c:v>
                  </c:pt>
                  <c:pt idx="4">
                    <c:v>2022-23</c:v>
                  </c:pt>
                  <c:pt idx="5">
                    <c:v>2023-24</c:v>
                  </c:pt>
                  <c:pt idx="6">
                    <c:v>2024-25</c:v>
                  </c:pt>
                </c:lvl>
                <c:lvl>
                  <c:pt idx="0">
                    <c:v>Actual</c:v>
                  </c:pt>
                  <c:pt idx="1">
                    <c:v>Actual</c:v>
                  </c:pt>
                  <c:pt idx="2">
                    <c:v>Act/Proj</c:v>
                  </c:pt>
                  <c:pt idx="3">
                    <c:v>Budget</c:v>
                  </c:pt>
                  <c:pt idx="4">
                    <c:v>Forecast</c:v>
                  </c:pt>
                  <c:pt idx="5">
                    <c:v>Forecast</c:v>
                  </c:pt>
                  <c:pt idx="6">
                    <c:v>Forecast</c:v>
                  </c:pt>
                </c:lvl>
              </c:multiLvlStrCache>
            </c:multiLvlStrRef>
          </c:cat>
          <c:val>
            <c:numRef>
              <c:f>Summary!$C$7:$I$7</c:f>
              <c:numCache>
                <c:formatCode>_("$"* #,##0_);_("$"* \(#,##0\);_("$"* "-"??_);_(@_)</c:formatCode>
                <c:ptCount val="7"/>
                <c:pt idx="0">
                  <c:v>26971</c:v>
                </c:pt>
                <c:pt idx="1">
                  <c:v>18866</c:v>
                </c:pt>
                <c:pt idx="2">
                  <c:v>2072</c:v>
                </c:pt>
                <c:pt idx="3">
                  <c:v>1478</c:v>
                </c:pt>
                <c:pt idx="4">
                  <c:v>20000</c:v>
                </c:pt>
                <c:pt idx="5">
                  <c:v>21000</c:v>
                </c:pt>
                <c:pt idx="6">
                  <c:v>22050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28-4662-A5F6-E26CA6F5B738}"/>
            </c:ext>
          </c:extLst>
        </c:ser>
        <c:ser>
          <c:idx val="4"/>
          <c:order val="4"/>
          <c:tx>
            <c:strRef>
              <c:f>Summary!$B$8</c:f>
              <c:strCache>
                <c:ptCount val="1"/>
                <c:pt idx="0">
                  <c:v> One-Time Income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CCD-454F-937D-82483847232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CCD-454F-937D-82483847232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CCD-454F-937D-824838472322}"/>
              </c:ext>
            </c:extLst>
          </c:dPt>
          <c:cat>
            <c:multiLvlStrRef>
              <c:f>Summary!$C$2:$I$3</c:f>
              <c:multiLvlStrCache>
                <c:ptCount val="7"/>
                <c:lvl>
                  <c:pt idx="0">
                    <c:v>2018-19</c:v>
                  </c:pt>
                  <c:pt idx="1">
                    <c:v>2019-20</c:v>
                  </c:pt>
                  <c:pt idx="2">
                    <c:v>2020-21</c:v>
                  </c:pt>
                  <c:pt idx="3">
                    <c:v>2021-22</c:v>
                  </c:pt>
                  <c:pt idx="4">
                    <c:v>2022-23</c:v>
                  </c:pt>
                  <c:pt idx="5">
                    <c:v>2023-24</c:v>
                  </c:pt>
                  <c:pt idx="6">
                    <c:v>2024-25</c:v>
                  </c:pt>
                </c:lvl>
                <c:lvl>
                  <c:pt idx="0">
                    <c:v>Actual</c:v>
                  </c:pt>
                  <c:pt idx="1">
                    <c:v>Actual</c:v>
                  </c:pt>
                  <c:pt idx="2">
                    <c:v>Act/Proj</c:v>
                  </c:pt>
                  <c:pt idx="3">
                    <c:v>Budget</c:v>
                  </c:pt>
                  <c:pt idx="4">
                    <c:v>Forecast</c:v>
                  </c:pt>
                  <c:pt idx="5">
                    <c:v>Forecast</c:v>
                  </c:pt>
                  <c:pt idx="6">
                    <c:v>Forecast</c:v>
                  </c:pt>
                </c:lvl>
              </c:multiLvlStrCache>
            </c:multiLvlStrRef>
          </c:cat>
          <c:val>
            <c:numRef>
              <c:f>Summary!$C$8:$I$8</c:f>
              <c:numCache>
                <c:formatCode>_("$"* #,##0_);_("$"* \(#,##0\);_("$"* "-"??_);_(@_)</c:formatCode>
                <c:ptCount val="7"/>
                <c:pt idx="0">
                  <c:v>26800</c:v>
                </c:pt>
                <c:pt idx="1">
                  <c:v>-6000</c:v>
                </c:pt>
                <c:pt idx="2">
                  <c:v>38296</c:v>
                </c:pt>
                <c:pt idx="3">
                  <c:v>147900</c:v>
                </c:pt>
                <c:pt idx="4">
                  <c:v>101100</c:v>
                </c:pt>
                <c:pt idx="5">
                  <c:v>90000</c:v>
                </c:pt>
                <c:pt idx="6">
                  <c:v>75000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28-4662-A5F6-E26CA6F5B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32899824"/>
        <c:axId val="1032907696"/>
      </c:barChart>
      <c:lineChart>
        <c:grouping val="standard"/>
        <c:varyColors val="0"/>
        <c:ser>
          <c:idx val="9"/>
          <c:order val="5"/>
          <c:tx>
            <c:strRef>
              <c:f>Summary!$B$14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Summary!$C$2:$I$3</c:f>
              <c:multiLvlStrCache>
                <c:ptCount val="7"/>
                <c:lvl>
                  <c:pt idx="0">
                    <c:v>2018-19</c:v>
                  </c:pt>
                  <c:pt idx="1">
                    <c:v>2019-20</c:v>
                  </c:pt>
                  <c:pt idx="2">
                    <c:v>2020-21</c:v>
                  </c:pt>
                  <c:pt idx="3">
                    <c:v>2021-22</c:v>
                  </c:pt>
                  <c:pt idx="4">
                    <c:v>2022-23</c:v>
                  </c:pt>
                  <c:pt idx="5">
                    <c:v>2023-24</c:v>
                  </c:pt>
                  <c:pt idx="6">
                    <c:v>2024-25</c:v>
                  </c:pt>
                </c:lvl>
                <c:lvl>
                  <c:pt idx="0">
                    <c:v>Actual</c:v>
                  </c:pt>
                  <c:pt idx="1">
                    <c:v>Actual</c:v>
                  </c:pt>
                  <c:pt idx="2">
                    <c:v>Act/Proj</c:v>
                  </c:pt>
                  <c:pt idx="3">
                    <c:v>Budget</c:v>
                  </c:pt>
                  <c:pt idx="4">
                    <c:v>Forecast</c:v>
                  </c:pt>
                  <c:pt idx="5">
                    <c:v>Forecast</c:v>
                  </c:pt>
                  <c:pt idx="6">
                    <c:v>Forecast</c:v>
                  </c:pt>
                </c:lvl>
              </c:multiLvlStrCache>
            </c:multiLvlStrRef>
          </c:cat>
          <c:val>
            <c:numRef>
              <c:f>Summary!$C$14:$I$14</c:f>
              <c:numCache>
                <c:formatCode>_("$"* #,##0_);_("$"* \(#,##0\);_("$"* "-"??_);_(@_)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4E28-4662-A5F6-E26CA6F5B738}"/>
            </c:ext>
          </c:extLst>
        </c:ser>
        <c:ser>
          <c:idx val="6"/>
          <c:order val="6"/>
          <c:tx>
            <c:strRef>
              <c:f>Summary!$B$15</c:f>
              <c:strCache>
                <c:ptCount val="1"/>
                <c:pt idx="0">
                  <c:v> Total Expenses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Summary!$C$2:$I$3</c:f>
              <c:multiLvlStrCache>
                <c:ptCount val="7"/>
                <c:lvl>
                  <c:pt idx="0">
                    <c:v>2018-19</c:v>
                  </c:pt>
                  <c:pt idx="1">
                    <c:v>2019-20</c:v>
                  </c:pt>
                  <c:pt idx="2">
                    <c:v>2020-21</c:v>
                  </c:pt>
                  <c:pt idx="3">
                    <c:v>2021-22</c:v>
                  </c:pt>
                  <c:pt idx="4">
                    <c:v>2022-23</c:v>
                  </c:pt>
                  <c:pt idx="5">
                    <c:v>2023-24</c:v>
                  </c:pt>
                  <c:pt idx="6">
                    <c:v>2024-25</c:v>
                  </c:pt>
                </c:lvl>
                <c:lvl>
                  <c:pt idx="0">
                    <c:v>Actual</c:v>
                  </c:pt>
                  <c:pt idx="1">
                    <c:v>Actual</c:v>
                  </c:pt>
                  <c:pt idx="2">
                    <c:v>Act/Proj</c:v>
                  </c:pt>
                  <c:pt idx="3">
                    <c:v>Budget</c:v>
                  </c:pt>
                  <c:pt idx="4">
                    <c:v>Forecast</c:v>
                  </c:pt>
                  <c:pt idx="5">
                    <c:v>Forecast</c:v>
                  </c:pt>
                  <c:pt idx="6">
                    <c:v>Forecast</c:v>
                  </c:pt>
                </c:lvl>
              </c:multiLvlStrCache>
            </c:multiLvlStrRef>
          </c:cat>
          <c:val>
            <c:numRef>
              <c:f>Summary!$C$15:$I$15</c:f>
              <c:numCache>
                <c:formatCode>_("$"* #,##0_);_("$"* \(#,##0\);_("$"* "-"??_);_(@_)</c:formatCode>
                <c:ptCount val="7"/>
                <c:pt idx="0">
                  <c:v>611700</c:v>
                </c:pt>
                <c:pt idx="1">
                  <c:v>601000</c:v>
                </c:pt>
                <c:pt idx="2">
                  <c:v>530626.44215999998</c:v>
                </c:pt>
                <c:pt idx="3">
                  <c:v>629611</c:v>
                </c:pt>
                <c:pt idx="4">
                  <c:v>645963.88</c:v>
                </c:pt>
                <c:pt idx="5">
                  <c:v>662106.81579999998</c:v>
                </c:pt>
                <c:pt idx="6">
                  <c:v>680270.62027399999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4E28-4662-A5F6-E26CA6F5B738}"/>
            </c:ext>
          </c:extLst>
        </c:ser>
        <c:ser>
          <c:idx val="5"/>
          <c:order val="7"/>
          <c:tx>
            <c:v>Budget 20-21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Summary!$B$33:$I$33</c:f>
              <c:numCache>
                <c:formatCode>General</c:formatCode>
                <c:ptCount val="8"/>
                <c:pt idx="0">
                  <c:v>0</c:v>
                </c:pt>
                <c:pt idx="3" formatCode="_(&quot;$&quot;* #,##0_);_(&quot;$&quot;* \(#,##0\);_(&quot;$&quot;* &quot;-&quot;??_);_(@_)">
                  <c:v>594446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CD-454F-937D-824838472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899824"/>
        <c:axId val="1032907696"/>
      </c:lineChart>
      <c:catAx>
        <c:axId val="103289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2907696"/>
        <c:crosses val="autoZero"/>
        <c:auto val="1"/>
        <c:lblAlgn val="ctr"/>
        <c:lblOffset val="100"/>
        <c:noMultiLvlLbl val="0"/>
      </c:catAx>
      <c:valAx>
        <c:axId val="1032907696"/>
        <c:scaling>
          <c:orientation val="minMax"/>
          <c:max val="7000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2899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7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57150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425874</xdr:colOff>
      <xdr:row>4</xdr:row>
      <xdr:rowOff>107526</xdr:rowOff>
    </xdr:from>
    <xdr:to>
      <xdr:col>18</xdr:col>
      <xdr:colOff>229659</xdr:colOff>
      <xdr:row>32</xdr:row>
      <xdr:rowOff>9736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D5BBD9B-82F0-4683-97F2-F342F3C101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453209</xdr:colOff>
      <xdr:row>5</xdr:row>
      <xdr:rowOff>69850</xdr:rowOff>
    </xdr:from>
    <xdr:to>
      <xdr:col>15</xdr:col>
      <xdr:colOff>455555</xdr:colOff>
      <xdr:row>6</xdr:row>
      <xdr:rowOff>41390</xdr:rowOff>
    </xdr:to>
    <xdr:sp macro="" textlink="">
      <xdr:nvSpPr>
        <xdr:cNvPr id="2" name="Callout: Line 1">
          <a:extLst>
            <a:ext uri="{FF2B5EF4-FFF2-40B4-BE49-F238E27FC236}">
              <a16:creationId xmlns:a16="http://schemas.microsoft.com/office/drawing/2014/main" id="{82C979C7-9B4E-4143-ACEC-5FECA80F473D}"/>
            </a:ext>
          </a:extLst>
        </xdr:cNvPr>
        <xdr:cNvSpPr/>
      </xdr:nvSpPr>
      <xdr:spPr>
        <a:xfrm>
          <a:off x="12975409" y="1026583"/>
          <a:ext cx="1001413" cy="157807"/>
        </a:xfrm>
        <a:prstGeom prst="borderCallout1">
          <a:avLst>
            <a:gd name="adj1" fmla="val 101935"/>
            <a:gd name="adj2" fmla="val 98511"/>
            <a:gd name="adj3" fmla="val 334254"/>
            <a:gd name="adj4" fmla="val 112964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900">
              <a:solidFill>
                <a:sysClr val="windowText" lastClr="000000"/>
              </a:solidFill>
            </a:rPr>
            <a:t>Recovery Fund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</cdr:x>
      <cdr:y>0.02092</cdr:y>
    </cdr:from>
    <cdr:to>
      <cdr:x>0.38013</cdr:x>
      <cdr:y>0.08195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5D7C59F-4B1F-46CB-B68E-B144E8836ABB}"/>
            </a:ext>
          </a:extLst>
        </cdr:cNvPr>
        <cdr:cNvSpPr txBox="1"/>
      </cdr:nvSpPr>
      <cdr:spPr>
        <a:xfrm xmlns:a="http://schemas.openxmlformats.org/drawingml/2006/main">
          <a:off x="956387" y="108315"/>
          <a:ext cx="1640357" cy="315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>
              <a:solidFill>
                <a:schemeClr val="accent1">
                  <a:lumMod val="75000"/>
                </a:schemeClr>
              </a:solidFill>
            </a:rPr>
            <a:t>VUU Income Sources</a:t>
          </a:r>
        </a:p>
      </cdr:txBody>
    </cdr:sp>
  </cdr:relSizeAnchor>
  <cdr:relSizeAnchor xmlns:cdr="http://schemas.openxmlformats.org/drawingml/2006/chartDrawing">
    <cdr:from>
      <cdr:x>0.3541</cdr:x>
      <cdr:y>0.12642</cdr:y>
    </cdr:from>
    <cdr:to>
      <cdr:x>0.38385</cdr:x>
      <cdr:y>0.16894</cdr:y>
    </cdr:to>
    <cdr:sp macro="" textlink="">
      <cdr:nvSpPr>
        <cdr:cNvPr id="3" name="Star: 5 Points 2">
          <a:extLst xmlns:a="http://schemas.openxmlformats.org/drawingml/2006/main">
            <a:ext uri="{FF2B5EF4-FFF2-40B4-BE49-F238E27FC236}">
              <a16:creationId xmlns:a16="http://schemas.microsoft.com/office/drawing/2014/main" id="{A18C8037-217D-4257-AF3F-25656CFB4E5F}"/>
            </a:ext>
          </a:extLst>
        </cdr:cNvPr>
        <cdr:cNvSpPr/>
      </cdr:nvSpPr>
      <cdr:spPr>
        <a:xfrm xmlns:a="http://schemas.openxmlformats.org/drawingml/2006/main">
          <a:off x="2418926" y="654473"/>
          <a:ext cx="203200" cy="220133"/>
        </a:xfrm>
        <a:prstGeom xmlns:a="http://schemas.openxmlformats.org/drawingml/2006/main" prst="star5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22860</xdr:colOff>
      <xdr:row>3</xdr:row>
      <xdr:rowOff>83820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86B9F95-9472-4DF8-9BDD-0F300A84155E}"/>
            </a:ext>
          </a:extLst>
        </xdr:cNvPr>
        <xdr:cNvSpPr txBox="1"/>
      </xdr:nvSpPr>
      <xdr:spPr>
        <a:xfrm>
          <a:off x="2923223" y="998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22860</xdr:colOff>
      <xdr:row>4</xdr:row>
      <xdr:rowOff>83820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B816F14-AF56-4E34-A61E-98747E7D5C51}"/>
            </a:ext>
          </a:extLst>
        </xdr:cNvPr>
        <xdr:cNvSpPr txBox="1"/>
      </xdr:nvSpPr>
      <xdr:spPr>
        <a:xfrm>
          <a:off x="2613660" y="5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97F68-0010-4130-8650-3084D3AACCC8}">
  <sheetPr>
    <pageSetUpPr fitToPage="1"/>
  </sheetPr>
  <dimension ref="A1:P226"/>
  <sheetViews>
    <sheetView zoomScale="130" zoomScaleNormal="130" workbookViewId="0">
      <pane ySplit="2" topLeftCell="A3" activePane="bottomLeft" state="frozen"/>
      <selection pane="bottomLeft" activeCell="H9" sqref="H9"/>
    </sheetView>
  </sheetViews>
  <sheetFormatPr defaultRowHeight="14.25" x14ac:dyDescent="0.45"/>
  <cols>
    <col min="1" max="1" width="3.1328125" customWidth="1"/>
    <col min="2" max="6" width="1.46484375" customWidth="1"/>
    <col min="7" max="7" width="32.6640625" customWidth="1"/>
    <col min="8" max="8" width="16" customWidth="1"/>
    <col min="9" max="9" width="10.33203125" customWidth="1"/>
    <col min="10" max="10" width="14.1328125" style="124" customWidth="1"/>
    <col min="11" max="11" width="1.53125" style="109" customWidth="1"/>
    <col min="12" max="12" width="16" style="2" customWidth="1"/>
    <col min="13" max="13" width="1.33203125" style="109" customWidth="1"/>
    <col min="14" max="14" width="18.86328125" style="61" bestFit="1" customWidth="1"/>
    <col min="15" max="15" width="1.33203125" style="109" hidden="1" customWidth="1"/>
    <col min="16" max="16" width="66.86328125" style="166" bestFit="1" customWidth="1"/>
  </cols>
  <sheetData>
    <row r="1" spans="1:16" ht="18.399999999999999" thickBot="1" x14ac:dyDescent="0.6">
      <c r="A1" s="110" t="s">
        <v>191</v>
      </c>
      <c r="B1" s="111"/>
      <c r="C1" s="111"/>
      <c r="D1" s="111"/>
      <c r="E1" s="111"/>
      <c r="F1" s="111"/>
      <c r="G1" s="111"/>
      <c r="H1" s="42"/>
      <c r="I1" s="42"/>
      <c r="J1" s="113"/>
      <c r="K1" s="105"/>
      <c r="L1" s="97"/>
      <c r="M1" s="105"/>
      <c r="N1" s="62" t="s">
        <v>194</v>
      </c>
      <c r="O1" s="105"/>
    </row>
    <row r="2" spans="1:16" ht="18.75" thickTop="1" thickBot="1" x14ac:dyDescent="0.6">
      <c r="A2" s="110" t="s">
        <v>197</v>
      </c>
      <c r="B2" s="112"/>
      <c r="C2" s="112"/>
      <c r="D2" s="112"/>
      <c r="E2" s="112"/>
      <c r="F2" s="112"/>
      <c r="G2" s="112"/>
      <c r="H2" s="54" t="s">
        <v>183</v>
      </c>
      <c r="I2" s="54" t="s">
        <v>182</v>
      </c>
      <c r="J2" s="114" t="s">
        <v>181</v>
      </c>
      <c r="K2" s="106"/>
      <c r="L2" s="98" t="s">
        <v>180</v>
      </c>
      <c r="M2" s="106"/>
      <c r="N2" s="63" t="s">
        <v>179</v>
      </c>
      <c r="O2" s="106"/>
      <c r="P2" s="166" t="s">
        <v>204</v>
      </c>
    </row>
    <row r="3" spans="1:16" ht="14.65" thickTop="1" x14ac:dyDescent="0.45">
      <c r="A3" s="42"/>
      <c r="B3" s="42"/>
      <c r="C3" s="42" t="s">
        <v>178</v>
      </c>
      <c r="D3" s="42"/>
      <c r="E3" s="42"/>
      <c r="F3" s="42"/>
      <c r="G3" s="42"/>
      <c r="H3" s="46"/>
      <c r="I3" s="46"/>
      <c r="J3" s="115"/>
      <c r="K3" s="107"/>
      <c r="L3" s="99"/>
      <c r="M3" s="107"/>
      <c r="N3" s="64"/>
      <c r="O3" s="107"/>
    </row>
    <row r="4" spans="1:16" x14ac:dyDescent="0.45">
      <c r="A4" s="42"/>
      <c r="B4" s="42"/>
      <c r="C4" s="42"/>
      <c r="D4" s="42" t="s">
        <v>177</v>
      </c>
      <c r="E4" s="42"/>
      <c r="F4" s="42"/>
      <c r="G4" s="42"/>
      <c r="H4" s="46"/>
      <c r="I4" s="46"/>
      <c r="J4" s="115"/>
      <c r="K4" s="107"/>
      <c r="L4" s="99"/>
      <c r="M4" s="107"/>
      <c r="N4" s="64"/>
      <c r="O4" s="107"/>
    </row>
    <row r="5" spans="1:16" x14ac:dyDescent="0.45">
      <c r="A5" s="42"/>
      <c r="B5" s="42"/>
      <c r="C5" s="42"/>
      <c r="D5" s="42"/>
      <c r="E5" s="42" t="s">
        <v>176</v>
      </c>
      <c r="F5" s="42"/>
      <c r="G5" s="42"/>
      <c r="H5" s="46">
        <v>274135.87</v>
      </c>
      <c r="I5" s="46">
        <v>122719</v>
      </c>
      <c r="J5" s="115">
        <f>I5+H5</f>
        <v>396854.87</v>
      </c>
      <c r="K5" s="107"/>
      <c r="L5" s="99">
        <v>376554</v>
      </c>
      <c r="M5" s="107"/>
      <c r="N5" s="64">
        <f>390000*0.96</f>
        <v>374400</v>
      </c>
      <c r="O5" s="107"/>
    </row>
    <row r="6" spans="1:16" x14ac:dyDescent="0.45">
      <c r="A6" s="42"/>
      <c r="B6" s="42"/>
      <c r="C6" s="42"/>
      <c r="D6" s="42"/>
      <c r="E6" s="42" t="s">
        <v>175</v>
      </c>
      <c r="F6" s="42"/>
      <c r="G6" s="42"/>
      <c r="H6" s="46">
        <v>1653</v>
      </c>
      <c r="I6" s="46">
        <v>3835</v>
      </c>
      <c r="J6" s="115">
        <f t="shared" ref="J6:J8" si="0">I6+H6</f>
        <v>5488</v>
      </c>
      <c r="K6" s="107"/>
      <c r="L6" s="99">
        <v>11499</v>
      </c>
      <c r="M6" s="107"/>
      <c r="N6" s="64">
        <v>8305</v>
      </c>
      <c r="O6" s="107"/>
    </row>
    <row r="7" spans="1:16" x14ac:dyDescent="0.45">
      <c r="A7" s="42"/>
      <c r="B7" s="42"/>
      <c r="C7" s="42"/>
      <c r="D7" s="42"/>
      <c r="E7" s="42" t="s">
        <v>173</v>
      </c>
      <c r="F7" s="42"/>
      <c r="G7" s="42"/>
      <c r="H7" s="46">
        <v>251.5</v>
      </c>
      <c r="I7" s="46">
        <v>0</v>
      </c>
      <c r="J7" s="115">
        <f t="shared" si="0"/>
        <v>251.5</v>
      </c>
      <c r="K7" s="107"/>
      <c r="L7" s="99">
        <v>13221</v>
      </c>
      <c r="M7" s="107"/>
      <c r="N7" s="64">
        <v>9950</v>
      </c>
      <c r="O7" s="107"/>
    </row>
    <row r="8" spans="1:16" ht="14.65" thickBot="1" x14ac:dyDescent="0.5">
      <c r="A8" s="42"/>
      <c r="B8" s="42"/>
      <c r="C8" s="42"/>
      <c r="D8" s="42"/>
      <c r="E8" s="42" t="s">
        <v>172</v>
      </c>
      <c r="F8" s="42"/>
      <c r="G8" s="42"/>
      <c r="H8" s="46">
        <v>35000</v>
      </c>
      <c r="I8" s="46">
        <v>0</v>
      </c>
      <c r="J8" s="116">
        <f t="shared" si="0"/>
        <v>35000</v>
      </c>
      <c r="K8" s="107"/>
      <c r="L8" s="99">
        <v>30000</v>
      </c>
      <c r="M8" s="107"/>
      <c r="N8" s="64">
        <v>0</v>
      </c>
      <c r="O8" s="107"/>
    </row>
    <row r="9" spans="1:16" s="43" customFormat="1" x14ac:dyDescent="0.45">
      <c r="A9" s="42"/>
      <c r="B9" s="42"/>
      <c r="C9" s="42"/>
      <c r="D9" s="42" t="s">
        <v>171</v>
      </c>
      <c r="E9" s="42"/>
      <c r="F9" s="42"/>
      <c r="G9" s="42"/>
      <c r="H9" s="45">
        <f>SUM(H5:H8)</f>
        <v>311040.37</v>
      </c>
      <c r="I9" s="45">
        <f>SUM(I5:I8)</f>
        <v>126554</v>
      </c>
      <c r="J9" s="117">
        <f t="shared" ref="J9:L9" si="1">SUM(J5:J8)</f>
        <v>437594.37</v>
      </c>
      <c r="K9" s="108"/>
      <c r="L9" s="100">
        <f t="shared" si="1"/>
        <v>431274</v>
      </c>
      <c r="M9" s="108"/>
      <c r="N9" s="65">
        <f t="shared" ref="N9" si="2">SUM(N5:N8)</f>
        <v>392655</v>
      </c>
      <c r="O9" s="108"/>
      <c r="P9" s="166"/>
    </row>
    <row r="10" spans="1:16" x14ac:dyDescent="0.45">
      <c r="A10" s="42"/>
      <c r="B10" s="42"/>
      <c r="C10" s="42"/>
      <c r="D10" s="42" t="s">
        <v>170</v>
      </c>
      <c r="E10" s="42"/>
      <c r="F10" s="42"/>
      <c r="G10" s="42"/>
      <c r="H10" s="46"/>
      <c r="I10" s="46"/>
      <c r="J10" s="115"/>
      <c r="K10" s="107"/>
      <c r="L10" s="99"/>
      <c r="M10" s="107"/>
      <c r="N10" s="64"/>
      <c r="O10" s="107"/>
    </row>
    <row r="11" spans="1:16" x14ac:dyDescent="0.45">
      <c r="A11" s="42"/>
      <c r="B11" s="42"/>
      <c r="C11" s="42"/>
      <c r="D11" s="42"/>
      <c r="E11" s="42" t="s">
        <v>169</v>
      </c>
      <c r="F11" s="42"/>
      <c r="G11" s="42"/>
      <c r="H11" s="46">
        <f>43246.84+1950</f>
        <v>45196.84</v>
      </c>
      <c r="I11" s="46">
        <f>20808+1124</f>
        <v>21932</v>
      </c>
      <c r="J11" s="115">
        <f t="shared" ref="J11:J15" si="3">I11+H11</f>
        <v>67128.84</v>
      </c>
      <c r="K11" s="107"/>
      <c r="L11" s="99">
        <v>65178</v>
      </c>
      <c r="M11" s="107"/>
      <c r="N11" s="64">
        <v>68002</v>
      </c>
      <c r="O11" s="107"/>
    </row>
    <row r="12" spans="1:16" x14ac:dyDescent="0.45">
      <c r="A12" s="42"/>
      <c r="B12" s="42"/>
      <c r="C12" s="42"/>
      <c r="D12" s="42"/>
      <c r="E12" s="42" t="s">
        <v>168</v>
      </c>
      <c r="F12" s="42"/>
      <c r="G12" s="42"/>
      <c r="H12" s="46">
        <v>8008</v>
      </c>
      <c r="I12" s="46">
        <v>4156</v>
      </c>
      <c r="J12" s="115">
        <f t="shared" si="3"/>
        <v>12164</v>
      </c>
      <c r="K12" s="107"/>
      <c r="L12" s="99">
        <v>12240</v>
      </c>
      <c r="M12" s="107"/>
      <c r="N12" s="64">
        <v>12240</v>
      </c>
      <c r="O12" s="107"/>
    </row>
    <row r="13" spans="1:16" x14ac:dyDescent="0.45">
      <c r="A13" s="42"/>
      <c r="B13" s="42"/>
      <c r="C13" s="42"/>
      <c r="D13" s="42"/>
      <c r="E13" s="42" t="s">
        <v>167</v>
      </c>
      <c r="F13" s="42"/>
      <c r="G13" s="42"/>
      <c r="H13" s="46">
        <v>840</v>
      </c>
      <c r="I13" s="46">
        <v>0</v>
      </c>
      <c r="J13" s="115">
        <f t="shared" si="3"/>
        <v>840</v>
      </c>
      <c r="K13" s="107"/>
      <c r="L13" s="99">
        <v>2550</v>
      </c>
      <c r="M13" s="107"/>
      <c r="N13" s="64">
        <v>0</v>
      </c>
      <c r="O13" s="107"/>
    </row>
    <row r="14" spans="1:16" x14ac:dyDescent="0.45">
      <c r="A14" s="42"/>
      <c r="B14" s="42"/>
      <c r="C14" s="42"/>
      <c r="D14" s="42"/>
      <c r="E14" s="42" t="s">
        <v>165</v>
      </c>
      <c r="F14" s="42"/>
      <c r="G14" s="42"/>
      <c r="H14" s="46">
        <v>3200</v>
      </c>
      <c r="I14" s="46">
        <v>3240</v>
      </c>
      <c r="J14" s="115">
        <f t="shared" si="3"/>
        <v>6440</v>
      </c>
      <c r="K14" s="107"/>
      <c r="L14" s="99">
        <v>9720</v>
      </c>
      <c r="M14" s="107"/>
      <c r="N14" s="64">
        <v>5600</v>
      </c>
      <c r="O14" s="107"/>
    </row>
    <row r="15" spans="1:16" ht="14.65" thickBot="1" x14ac:dyDescent="0.5">
      <c r="A15" s="42"/>
      <c r="B15" s="42"/>
      <c r="C15" s="42"/>
      <c r="D15" s="42"/>
      <c r="E15" s="42" t="s">
        <v>164</v>
      </c>
      <c r="F15" s="42"/>
      <c r="G15" s="42"/>
      <c r="H15" s="49">
        <v>1110</v>
      </c>
      <c r="I15" s="49">
        <v>0</v>
      </c>
      <c r="J15" s="118">
        <f t="shared" si="3"/>
        <v>1110</v>
      </c>
      <c r="K15" s="107"/>
      <c r="L15" s="101">
        <v>0</v>
      </c>
      <c r="M15" s="107"/>
      <c r="N15" s="66">
        <v>1736</v>
      </c>
      <c r="O15" s="107"/>
    </row>
    <row r="16" spans="1:16" s="43" customFormat="1" x14ac:dyDescent="0.45">
      <c r="A16" s="42"/>
      <c r="B16" s="42"/>
      <c r="C16" s="42"/>
      <c r="D16" s="42" t="s">
        <v>163</v>
      </c>
      <c r="E16" s="42"/>
      <c r="F16" s="42"/>
      <c r="G16" s="42"/>
      <c r="H16" s="41">
        <f>SUM(H11:H15)</f>
        <v>58354.84</v>
      </c>
      <c r="I16" s="41">
        <f>SUM(I11:I15)</f>
        <v>29328</v>
      </c>
      <c r="J16" s="113">
        <f>SUM(J11:J15)</f>
        <v>87682.84</v>
      </c>
      <c r="K16" s="108"/>
      <c r="L16" s="102">
        <f>SUM(L11:L15)</f>
        <v>89688</v>
      </c>
      <c r="M16" s="108"/>
      <c r="N16" s="67">
        <f>SUM(N11:N15)</f>
        <v>87578</v>
      </c>
      <c r="O16" s="108"/>
      <c r="P16" s="166"/>
    </row>
    <row r="17" spans="1:16" x14ac:dyDescent="0.45">
      <c r="A17" s="42"/>
      <c r="B17" s="42"/>
      <c r="C17" s="42"/>
      <c r="D17" s="42" t="s">
        <v>162</v>
      </c>
      <c r="E17" s="42"/>
      <c r="F17" s="42"/>
      <c r="G17" s="42"/>
      <c r="H17" s="46"/>
      <c r="I17" s="46"/>
      <c r="J17" s="115"/>
      <c r="K17" s="107"/>
      <c r="L17" s="99"/>
      <c r="M17" s="107"/>
      <c r="N17" s="64"/>
      <c r="O17" s="107"/>
    </row>
    <row r="18" spans="1:16" x14ac:dyDescent="0.45">
      <c r="A18" s="42"/>
      <c r="B18" s="42"/>
      <c r="C18" s="42"/>
      <c r="D18" s="42"/>
      <c r="E18" s="42" t="s">
        <v>161</v>
      </c>
      <c r="F18" s="42"/>
      <c r="G18" s="42"/>
      <c r="H18" s="46">
        <v>484.82</v>
      </c>
      <c r="I18" s="46">
        <v>0</v>
      </c>
      <c r="J18" s="115">
        <f t="shared" ref="J18:J20" si="4">I18+H18</f>
        <v>484.82</v>
      </c>
      <c r="K18" s="107"/>
      <c r="L18" s="99">
        <v>12000</v>
      </c>
      <c r="M18" s="107"/>
      <c r="N18" s="64">
        <v>500</v>
      </c>
      <c r="O18" s="107"/>
    </row>
    <row r="19" spans="1:16" x14ac:dyDescent="0.45">
      <c r="A19" s="42"/>
      <c r="B19" s="42"/>
      <c r="C19" s="42"/>
      <c r="D19" s="42"/>
      <c r="E19" s="42" t="s">
        <v>160</v>
      </c>
      <c r="F19" s="42"/>
      <c r="G19" s="42"/>
      <c r="H19" s="46">
        <v>139.35</v>
      </c>
      <c r="I19" s="46">
        <v>64</v>
      </c>
      <c r="J19" s="115">
        <f t="shared" si="4"/>
        <v>203.35</v>
      </c>
      <c r="K19" s="107"/>
      <c r="L19" s="99">
        <v>189</v>
      </c>
      <c r="M19" s="107"/>
      <c r="N19" s="64">
        <v>378</v>
      </c>
      <c r="O19" s="107"/>
    </row>
    <row r="20" spans="1:16" ht="14.65" thickBot="1" x14ac:dyDescent="0.5">
      <c r="A20" s="42"/>
      <c r="B20" s="42"/>
      <c r="C20" s="42"/>
      <c r="D20" s="42"/>
      <c r="E20" s="42" t="s">
        <v>159</v>
      </c>
      <c r="F20" s="42"/>
      <c r="G20" s="42"/>
      <c r="H20" s="46">
        <v>1143.83</v>
      </c>
      <c r="I20" s="46">
        <v>240</v>
      </c>
      <c r="J20" s="115">
        <f t="shared" si="4"/>
        <v>1383.83</v>
      </c>
      <c r="K20" s="107"/>
      <c r="L20" s="99">
        <v>660</v>
      </c>
      <c r="M20" s="107"/>
      <c r="N20" s="64">
        <v>600</v>
      </c>
      <c r="O20" s="107"/>
    </row>
    <row r="21" spans="1:16" s="43" customFormat="1" x14ac:dyDescent="0.45">
      <c r="A21" s="42"/>
      <c r="B21" s="42"/>
      <c r="C21" s="42"/>
      <c r="D21" s="42" t="s">
        <v>158</v>
      </c>
      <c r="E21" s="42"/>
      <c r="F21" s="42"/>
      <c r="G21" s="42"/>
      <c r="H21" s="45">
        <f>SUM(H18:H20)</f>
        <v>1768</v>
      </c>
      <c r="I21" s="45">
        <f>SUM(I18:I20)</f>
        <v>304</v>
      </c>
      <c r="J21" s="117">
        <f>SUM(J18:J20)</f>
        <v>2072</v>
      </c>
      <c r="K21" s="108"/>
      <c r="L21" s="100">
        <f>SUM(L18:L20)</f>
        <v>12849</v>
      </c>
      <c r="M21" s="108"/>
      <c r="N21" s="65">
        <f>SUM(N18:N20)</f>
        <v>1478</v>
      </c>
      <c r="O21" s="108"/>
      <c r="P21" s="166"/>
    </row>
    <row r="22" spans="1:16" x14ac:dyDescent="0.45">
      <c r="A22" s="42"/>
      <c r="B22" s="42"/>
      <c r="C22" s="42"/>
      <c r="D22" s="42" t="s">
        <v>157</v>
      </c>
      <c r="E22" s="42"/>
      <c r="F22" s="42"/>
      <c r="G22" s="42"/>
      <c r="H22" s="46"/>
      <c r="I22" s="46"/>
      <c r="J22" s="115"/>
      <c r="K22" s="107"/>
      <c r="L22" s="99"/>
      <c r="M22" s="107"/>
      <c r="N22" s="64"/>
      <c r="O22" s="107"/>
    </row>
    <row r="23" spans="1:16" x14ac:dyDescent="0.45">
      <c r="A23" s="42"/>
      <c r="B23" s="42"/>
      <c r="C23" s="42"/>
      <c r="D23" s="42"/>
      <c r="E23" s="42" t="s">
        <v>156</v>
      </c>
      <c r="F23" s="42"/>
      <c r="G23" s="42"/>
      <c r="H23" s="46">
        <v>16234</v>
      </c>
      <c r="I23" s="46">
        <v>0</v>
      </c>
      <c r="J23" s="115">
        <f t="shared" ref="J23:J25" si="5">I23+H23</f>
        <v>16234</v>
      </c>
      <c r="K23" s="107"/>
      <c r="L23" s="99">
        <v>60887</v>
      </c>
      <c r="M23" s="107"/>
      <c r="N23" s="64">
        <v>91000</v>
      </c>
      <c r="O23" s="107"/>
    </row>
    <row r="24" spans="1:16" x14ac:dyDescent="0.45">
      <c r="A24" s="42"/>
      <c r="B24" s="42"/>
      <c r="C24" s="42"/>
      <c r="D24" s="42"/>
      <c r="E24" s="42" t="s">
        <v>189</v>
      </c>
      <c r="F24" s="42"/>
      <c r="G24" s="42"/>
      <c r="H24" s="46"/>
      <c r="I24" s="46"/>
      <c r="J24" s="115">
        <f>Summary!E11</f>
        <v>-91000</v>
      </c>
      <c r="K24" s="107"/>
      <c r="L24" s="99">
        <v>0</v>
      </c>
      <c r="M24" s="107"/>
      <c r="N24" s="64">
        <v>-17000</v>
      </c>
      <c r="O24" s="107"/>
      <c r="P24" s="166" t="s">
        <v>193</v>
      </c>
    </row>
    <row r="25" spans="1:16" ht="14.65" thickBot="1" x14ac:dyDescent="0.5">
      <c r="A25" s="42"/>
      <c r="B25" s="42"/>
      <c r="C25" s="42"/>
      <c r="D25" s="42"/>
      <c r="E25" s="42" t="s">
        <v>154</v>
      </c>
      <c r="F25" s="42"/>
      <c r="G25" s="42"/>
      <c r="H25" s="49">
        <v>78062</v>
      </c>
      <c r="I25" s="49">
        <v>0</v>
      </c>
      <c r="J25" s="119">
        <f t="shared" si="5"/>
        <v>78062</v>
      </c>
      <c r="K25" s="107"/>
      <c r="L25" s="101">
        <v>0</v>
      </c>
      <c r="M25" s="107"/>
      <c r="N25" s="66">
        <v>78000</v>
      </c>
      <c r="O25" s="107"/>
      <c r="P25" s="70"/>
    </row>
    <row r="26" spans="1:16" s="43" customFormat="1" ht="14.65" thickBot="1" x14ac:dyDescent="0.5">
      <c r="A26" s="42"/>
      <c r="B26" s="42"/>
      <c r="C26" s="42"/>
      <c r="D26" s="42" t="s">
        <v>153</v>
      </c>
      <c r="E26" s="42"/>
      <c r="F26" s="42"/>
      <c r="G26" s="42"/>
      <c r="H26" s="41">
        <f>SUM(H23:H25)</f>
        <v>94296</v>
      </c>
      <c r="I26" s="41">
        <f>SUM(I23:I25)</f>
        <v>0</v>
      </c>
      <c r="J26" s="113">
        <f t="shared" ref="J26:L26" si="6">SUM(J23:J25)</f>
        <v>3296</v>
      </c>
      <c r="K26" s="108"/>
      <c r="L26" s="102">
        <f t="shared" si="6"/>
        <v>60887</v>
      </c>
      <c r="M26" s="108"/>
      <c r="N26" s="67">
        <f t="shared" ref="N26" si="7">SUM(N23:N25)</f>
        <v>152000</v>
      </c>
      <c r="O26" s="108"/>
      <c r="P26" s="166"/>
    </row>
    <row r="27" spans="1:16" s="43" customFormat="1" x14ac:dyDescent="0.45">
      <c r="A27" s="42"/>
      <c r="B27" s="42"/>
      <c r="C27" s="42" t="s">
        <v>6</v>
      </c>
      <c r="D27" s="42"/>
      <c r="E27" s="42"/>
      <c r="F27" s="42"/>
      <c r="G27" s="42"/>
      <c r="H27" s="45">
        <f>H26+H21+H16+H9</f>
        <v>465459.20999999996</v>
      </c>
      <c r="I27" s="45">
        <f>I26+I21+I16+I9</f>
        <v>156186</v>
      </c>
      <c r="J27" s="117">
        <f>J26+J21+J16+J9</f>
        <v>530645.21</v>
      </c>
      <c r="K27" s="108"/>
      <c r="L27" s="100">
        <f>L26+L21+L16+L9</f>
        <v>594698</v>
      </c>
      <c r="M27" s="108"/>
      <c r="N27" s="65">
        <f>N26+N21+N16+N9</f>
        <v>633711</v>
      </c>
      <c r="O27" s="108"/>
      <c r="P27" s="166"/>
    </row>
    <row r="28" spans="1:16" s="43" customFormat="1" x14ac:dyDescent="0.45">
      <c r="A28" s="42"/>
      <c r="B28" s="42"/>
      <c r="C28" s="42"/>
      <c r="D28" s="42"/>
      <c r="E28" s="42"/>
      <c r="F28" s="42"/>
      <c r="G28" s="42"/>
      <c r="H28" s="41"/>
      <c r="I28" s="41"/>
      <c r="J28" s="113"/>
      <c r="K28" s="108"/>
      <c r="L28" s="102"/>
      <c r="M28" s="108"/>
      <c r="N28" s="67"/>
      <c r="O28" s="108"/>
      <c r="P28" s="166"/>
    </row>
    <row r="29" spans="1:16" x14ac:dyDescent="0.45">
      <c r="A29" s="42"/>
      <c r="B29" s="42"/>
      <c r="C29" s="42" t="s">
        <v>151</v>
      </c>
      <c r="D29" s="42"/>
      <c r="E29" s="42"/>
      <c r="F29" s="42"/>
      <c r="G29" s="42"/>
      <c r="H29" s="46"/>
      <c r="I29" s="46"/>
      <c r="J29" s="115"/>
      <c r="K29" s="107"/>
      <c r="L29" s="99"/>
      <c r="M29" s="107"/>
      <c r="N29" s="64"/>
      <c r="O29" s="107"/>
    </row>
    <row r="30" spans="1:16" x14ac:dyDescent="0.45">
      <c r="A30" s="42"/>
      <c r="B30" s="42"/>
      <c r="C30" s="42"/>
      <c r="D30" s="42" t="s">
        <v>150</v>
      </c>
      <c r="E30" s="42"/>
      <c r="F30" s="42"/>
      <c r="G30" s="42"/>
      <c r="H30" s="46"/>
      <c r="I30" s="46"/>
      <c r="J30" s="115"/>
      <c r="K30" s="107"/>
      <c r="L30" s="99"/>
      <c r="M30" s="107"/>
      <c r="N30" s="64"/>
      <c r="O30" s="107"/>
    </row>
    <row r="31" spans="1:16" x14ac:dyDescent="0.45">
      <c r="A31" s="42"/>
      <c r="B31" s="42"/>
      <c r="C31" s="42"/>
      <c r="D31" s="42"/>
      <c r="E31" s="42" t="s">
        <v>149</v>
      </c>
      <c r="F31" s="42"/>
      <c r="G31" s="42"/>
      <c r="H31" s="46"/>
      <c r="I31" s="46"/>
      <c r="J31" s="115"/>
      <c r="K31" s="107"/>
      <c r="L31" s="99"/>
      <c r="M31" s="107"/>
      <c r="N31" s="64"/>
      <c r="O31" s="107"/>
    </row>
    <row r="32" spans="1:16" x14ac:dyDescent="0.45">
      <c r="A32" s="42"/>
      <c r="B32" s="42"/>
      <c r="C32" s="42"/>
      <c r="D32" s="42"/>
      <c r="E32" s="42"/>
      <c r="F32" s="42" t="s">
        <v>148</v>
      </c>
      <c r="G32" s="42"/>
      <c r="H32" s="46">
        <v>49611.91</v>
      </c>
      <c r="I32" s="46">
        <f>2902.33*8</f>
        <v>23218.639999999999</v>
      </c>
      <c r="J32" s="115">
        <f t="shared" ref="J32:J43" si="8">I32+H32</f>
        <v>72830.55</v>
      </c>
      <c r="K32" s="107"/>
      <c r="L32" s="99">
        <v>70963</v>
      </c>
      <c r="M32" s="107"/>
      <c r="N32" s="64">
        <v>48000</v>
      </c>
      <c r="O32" s="107"/>
    </row>
    <row r="33" spans="1:16" x14ac:dyDescent="0.45">
      <c r="A33" s="42"/>
      <c r="B33" s="42"/>
      <c r="C33" s="42"/>
      <c r="D33" s="42"/>
      <c r="E33" s="42"/>
      <c r="F33" s="42" t="s">
        <v>147</v>
      </c>
      <c r="G33" s="42"/>
      <c r="H33" s="46">
        <v>21741.61</v>
      </c>
      <c r="I33" s="46">
        <f>1333.33*8</f>
        <v>10666.64</v>
      </c>
      <c r="J33" s="115">
        <f t="shared" si="8"/>
        <v>32408.25</v>
      </c>
      <c r="K33" s="107"/>
      <c r="L33" s="99">
        <v>27560</v>
      </c>
      <c r="M33" s="107"/>
      <c r="N33" s="64">
        <v>48000</v>
      </c>
      <c r="O33" s="107"/>
    </row>
    <row r="34" spans="1:16" x14ac:dyDescent="0.45">
      <c r="A34" s="42"/>
      <c r="B34" s="42"/>
      <c r="C34" s="42"/>
      <c r="D34" s="42"/>
      <c r="E34" s="42"/>
      <c r="F34" s="42" t="s">
        <v>145</v>
      </c>
      <c r="G34" s="42"/>
      <c r="H34" s="46">
        <v>1571.25</v>
      </c>
      <c r="I34" s="46">
        <v>0</v>
      </c>
      <c r="J34" s="115">
        <f t="shared" si="8"/>
        <v>1571.25</v>
      </c>
      <c r="K34" s="107"/>
      <c r="L34" s="99">
        <v>7542</v>
      </c>
      <c r="M34" s="107"/>
      <c r="N34" s="64">
        <v>7344</v>
      </c>
      <c r="O34" s="107"/>
    </row>
    <row r="35" spans="1:16" x14ac:dyDescent="0.45">
      <c r="A35" s="42"/>
      <c r="B35" s="42"/>
      <c r="C35" s="42"/>
      <c r="D35" s="42"/>
      <c r="E35" s="42"/>
      <c r="F35" s="42" t="s">
        <v>144</v>
      </c>
      <c r="G35" s="42"/>
      <c r="H35" s="46">
        <v>28359.55</v>
      </c>
      <c r="I35" s="46">
        <f>1937.5*8</f>
        <v>15500</v>
      </c>
      <c r="J35" s="115">
        <f t="shared" si="8"/>
        <v>43859.55</v>
      </c>
      <c r="K35" s="107"/>
      <c r="L35" s="99">
        <v>46500</v>
      </c>
      <c r="M35" s="107"/>
      <c r="N35" s="64">
        <v>47700</v>
      </c>
      <c r="O35" s="107"/>
    </row>
    <row r="36" spans="1:16" x14ac:dyDescent="0.45">
      <c r="A36" s="42"/>
      <c r="B36" s="42"/>
      <c r="C36" s="42"/>
      <c r="D36" s="42"/>
      <c r="E36" s="42"/>
      <c r="F36" s="42" t="s">
        <v>143</v>
      </c>
      <c r="G36" s="42"/>
      <c r="H36" s="46">
        <v>1680</v>
      </c>
      <c r="I36" s="46">
        <f>420*8</f>
        <v>3360</v>
      </c>
      <c r="J36" s="115">
        <f t="shared" si="8"/>
        <v>5040</v>
      </c>
      <c r="K36" s="107"/>
      <c r="L36" s="99">
        <v>10540</v>
      </c>
      <c r="M36" s="107"/>
      <c r="N36" s="64">
        <v>6500</v>
      </c>
      <c r="O36" s="107"/>
    </row>
    <row r="37" spans="1:16" x14ac:dyDescent="0.45">
      <c r="A37" s="42"/>
      <c r="B37" s="42"/>
      <c r="C37" s="42"/>
      <c r="D37" s="42"/>
      <c r="E37" s="42"/>
      <c r="F37" s="42" t="s">
        <v>142</v>
      </c>
      <c r="G37" s="42"/>
      <c r="H37" s="46">
        <v>28073.72</v>
      </c>
      <c r="I37" s="46">
        <f>1991.67*8</f>
        <v>15933.36</v>
      </c>
      <c r="J37" s="115">
        <f t="shared" si="8"/>
        <v>44007.08</v>
      </c>
      <c r="K37" s="107"/>
      <c r="L37" s="99">
        <v>48566</v>
      </c>
      <c r="M37" s="107"/>
      <c r="N37" s="64">
        <v>49000</v>
      </c>
      <c r="O37" s="107"/>
    </row>
    <row r="38" spans="1:16" x14ac:dyDescent="0.45">
      <c r="A38" s="42"/>
      <c r="B38" s="42"/>
      <c r="C38" s="42"/>
      <c r="D38" s="42"/>
      <c r="E38" s="42"/>
      <c r="F38" s="42" t="s">
        <v>141</v>
      </c>
      <c r="G38" s="42"/>
      <c r="H38" s="46">
        <v>36952.639999999999</v>
      </c>
      <c r="I38" s="46">
        <f>2309.54*8</f>
        <v>18476.32</v>
      </c>
      <c r="J38" s="115">
        <f t="shared" si="8"/>
        <v>55428.959999999999</v>
      </c>
      <c r="K38" s="107"/>
      <c r="L38" s="99">
        <v>55429</v>
      </c>
      <c r="M38" s="107"/>
      <c r="N38" s="64">
        <v>58500</v>
      </c>
      <c r="O38" s="107"/>
    </row>
    <row r="39" spans="1:16" x14ac:dyDescent="0.45">
      <c r="A39" s="42"/>
      <c r="B39" s="42"/>
      <c r="C39" s="42"/>
      <c r="D39" s="42"/>
      <c r="E39" s="42"/>
      <c r="F39" s="42" t="s">
        <v>139</v>
      </c>
      <c r="G39" s="42"/>
      <c r="H39" s="46">
        <v>10404.32</v>
      </c>
      <c r="I39" s="46">
        <f t="shared" ref="I39:I43" si="9">H39/8*4</f>
        <v>5202.16</v>
      </c>
      <c r="J39" s="115">
        <f t="shared" si="8"/>
        <v>15606.48</v>
      </c>
      <c r="K39" s="107"/>
      <c r="L39" s="99">
        <v>16068</v>
      </c>
      <c r="M39" s="107"/>
      <c r="N39" s="64">
        <v>16068</v>
      </c>
      <c r="O39" s="107"/>
    </row>
    <row r="40" spans="1:16" x14ac:dyDescent="0.45">
      <c r="A40" s="42"/>
      <c r="B40" s="42"/>
      <c r="C40" s="42"/>
      <c r="D40" s="42"/>
      <c r="E40" s="42"/>
      <c r="F40" s="42" t="s">
        <v>138</v>
      </c>
      <c r="G40" s="42"/>
      <c r="H40" s="46">
        <v>8603.06</v>
      </c>
      <c r="I40" s="46">
        <f>20*19.12*16</f>
        <v>6118.4000000000005</v>
      </c>
      <c r="J40" s="115">
        <f t="shared" si="8"/>
        <v>14721.46</v>
      </c>
      <c r="K40" s="107"/>
      <c r="L40" s="99">
        <v>14771</v>
      </c>
      <c r="M40" s="107"/>
      <c r="N40" s="64">
        <v>14771</v>
      </c>
      <c r="O40" s="107"/>
    </row>
    <row r="41" spans="1:16" x14ac:dyDescent="0.45">
      <c r="A41" s="42"/>
      <c r="B41" s="42"/>
      <c r="C41" s="42"/>
      <c r="D41" s="42"/>
      <c r="E41" s="42"/>
      <c r="F41" s="42" t="s">
        <v>137</v>
      </c>
      <c r="G41" s="42"/>
      <c r="H41" s="46">
        <v>2748.75</v>
      </c>
      <c r="I41" s="46">
        <f>10*15*16</f>
        <v>2400</v>
      </c>
      <c r="J41" s="115">
        <f t="shared" si="8"/>
        <v>5148.75</v>
      </c>
      <c r="K41" s="107"/>
      <c r="L41" s="99">
        <v>2460</v>
      </c>
      <c r="M41" s="107"/>
      <c r="N41" s="64">
        <v>7800</v>
      </c>
      <c r="O41" s="107"/>
    </row>
    <row r="42" spans="1:16" x14ac:dyDescent="0.45">
      <c r="A42" s="42"/>
      <c r="B42" s="42"/>
      <c r="C42" s="42"/>
      <c r="D42" s="42"/>
      <c r="E42" s="42"/>
      <c r="F42" s="42" t="s">
        <v>136</v>
      </c>
      <c r="G42" s="42"/>
      <c r="H42" s="46">
        <v>0</v>
      </c>
      <c r="I42" s="46">
        <f t="shared" si="9"/>
        <v>0</v>
      </c>
      <c r="J42" s="115">
        <f t="shared" si="8"/>
        <v>0</v>
      </c>
      <c r="K42" s="107"/>
      <c r="L42" s="99">
        <v>4590</v>
      </c>
      <c r="M42" s="107"/>
      <c r="N42" s="64">
        <v>4590</v>
      </c>
      <c r="O42" s="107"/>
    </row>
    <row r="43" spans="1:16" ht="14.65" thickBot="1" x14ac:dyDescent="0.5">
      <c r="A43" s="42"/>
      <c r="B43" s="42"/>
      <c r="C43" s="42"/>
      <c r="D43" s="42"/>
      <c r="E43" s="42"/>
      <c r="F43" s="42" t="s">
        <v>135</v>
      </c>
      <c r="G43" s="42"/>
      <c r="H43" s="46">
        <v>0</v>
      </c>
      <c r="I43" s="46">
        <f t="shared" si="9"/>
        <v>0</v>
      </c>
      <c r="J43" s="115">
        <f t="shared" si="8"/>
        <v>0</v>
      </c>
      <c r="K43" s="107"/>
      <c r="L43" s="99">
        <v>5625</v>
      </c>
      <c r="M43" s="107"/>
      <c r="N43" s="64">
        <v>5625</v>
      </c>
      <c r="O43" s="107"/>
      <c r="P43" s="166" t="s">
        <v>202</v>
      </c>
    </row>
    <row r="44" spans="1:16" x14ac:dyDescent="0.45">
      <c r="A44" s="42"/>
      <c r="B44" s="42"/>
      <c r="C44" s="42"/>
      <c r="D44" s="42"/>
      <c r="E44" s="42" t="s">
        <v>134</v>
      </c>
      <c r="F44" s="42"/>
      <c r="G44" s="42"/>
      <c r="H44" s="53">
        <f>SUM(H32:H43)</f>
        <v>189746.81</v>
      </c>
      <c r="I44" s="53">
        <f>SUM(I32:I43)</f>
        <v>100875.51999999999</v>
      </c>
      <c r="J44" s="120">
        <f>SUM(J32:J43)</f>
        <v>290622.33</v>
      </c>
      <c r="K44" s="107"/>
      <c r="L44" s="103">
        <f>SUM(L32:L43)</f>
        <v>310614</v>
      </c>
      <c r="M44" s="107"/>
      <c r="N44" s="68">
        <f>SUM(N32:N43)</f>
        <v>313898</v>
      </c>
      <c r="O44" s="107"/>
    </row>
    <row r="45" spans="1:16" x14ac:dyDescent="0.45">
      <c r="A45" s="42"/>
      <c r="B45" s="42"/>
      <c r="C45" s="42"/>
      <c r="D45" s="42"/>
      <c r="E45" s="42" t="s">
        <v>133</v>
      </c>
      <c r="F45" s="42"/>
      <c r="G45" s="42"/>
      <c r="H45" s="46"/>
      <c r="I45" s="46"/>
      <c r="J45" s="115"/>
      <c r="K45" s="107"/>
      <c r="L45" s="99"/>
      <c r="M45" s="107"/>
      <c r="N45" s="64"/>
      <c r="O45" s="107"/>
    </row>
    <row r="46" spans="1:16" x14ac:dyDescent="0.45">
      <c r="A46" s="42"/>
      <c r="B46" s="42"/>
      <c r="C46" s="42"/>
      <c r="D46" s="42"/>
      <c r="E46" s="42"/>
      <c r="F46" s="42" t="s">
        <v>132</v>
      </c>
      <c r="G46" s="42"/>
      <c r="H46" s="46">
        <v>6041.81</v>
      </c>
      <c r="I46" s="46">
        <f>847.13*4</f>
        <v>3388.52</v>
      </c>
      <c r="J46" s="115">
        <f t="shared" ref="J46:J51" si="10">I46+H46</f>
        <v>9430.33</v>
      </c>
      <c r="K46" s="107"/>
      <c r="L46" s="99">
        <v>10837</v>
      </c>
      <c r="M46" s="107"/>
      <c r="N46" s="64">
        <v>9600</v>
      </c>
      <c r="O46" s="107"/>
    </row>
    <row r="47" spans="1:16" x14ac:dyDescent="0.45">
      <c r="A47" s="42"/>
      <c r="B47" s="42"/>
      <c r="C47" s="42"/>
      <c r="D47" s="42"/>
      <c r="E47" s="42"/>
      <c r="F47" s="42" t="s">
        <v>131</v>
      </c>
      <c r="G47" s="42"/>
      <c r="H47" s="46">
        <v>1162.5</v>
      </c>
      <c r="I47" s="46">
        <f>387.5*4</f>
        <v>1550</v>
      </c>
      <c r="J47" s="115">
        <f t="shared" si="10"/>
        <v>2712.5</v>
      </c>
      <c r="K47" s="107"/>
      <c r="L47" s="99">
        <v>4650</v>
      </c>
      <c r="M47" s="107"/>
      <c r="N47" s="64">
        <v>4770</v>
      </c>
      <c r="O47" s="107"/>
    </row>
    <row r="48" spans="1:16" x14ac:dyDescent="0.45">
      <c r="A48" s="42"/>
      <c r="B48" s="42"/>
      <c r="C48" s="42"/>
      <c r="D48" s="42"/>
      <c r="E48" s="42"/>
      <c r="F48" s="42" t="s">
        <v>130</v>
      </c>
      <c r="G48" s="42"/>
      <c r="H48" s="46">
        <v>1991.65</v>
      </c>
      <c r="I48" s="46">
        <f>398.33*4</f>
        <v>1593.32</v>
      </c>
      <c r="J48" s="115">
        <f t="shared" si="10"/>
        <v>3584.9700000000003</v>
      </c>
      <c r="K48" s="107"/>
      <c r="L48" s="99">
        <v>4857</v>
      </c>
      <c r="M48" s="107"/>
      <c r="N48" s="64">
        <v>4900</v>
      </c>
      <c r="O48" s="107"/>
    </row>
    <row r="49" spans="1:15" x14ac:dyDescent="0.45">
      <c r="A49" s="42"/>
      <c r="B49" s="42"/>
      <c r="C49" s="42"/>
      <c r="D49" s="42"/>
      <c r="E49" s="42"/>
      <c r="F49" s="42" t="s">
        <v>129</v>
      </c>
      <c r="G49" s="42"/>
      <c r="H49" s="46">
        <v>3233.44</v>
      </c>
      <c r="I49" s="46">
        <f>461.92*4</f>
        <v>1847.68</v>
      </c>
      <c r="J49" s="115">
        <f t="shared" si="10"/>
        <v>5081.12</v>
      </c>
      <c r="K49" s="107"/>
      <c r="L49" s="99">
        <v>5543</v>
      </c>
      <c r="M49" s="107"/>
      <c r="N49" s="64">
        <v>5850</v>
      </c>
      <c r="O49" s="107"/>
    </row>
    <row r="50" spans="1:15" x14ac:dyDescent="0.45">
      <c r="A50" s="42"/>
      <c r="B50" s="42"/>
      <c r="C50" s="42"/>
      <c r="D50" s="42"/>
      <c r="E50" s="42"/>
      <c r="F50" s="42" t="s">
        <v>128</v>
      </c>
      <c r="G50" s="42"/>
      <c r="H50" s="46">
        <v>0</v>
      </c>
      <c r="I50" s="46">
        <f t="shared" ref="I50:I51" si="11">H50/8*4</f>
        <v>0</v>
      </c>
      <c r="J50" s="115">
        <f t="shared" si="10"/>
        <v>0</v>
      </c>
      <c r="K50" s="107"/>
      <c r="L50" s="99">
        <v>0</v>
      </c>
      <c r="M50" s="107"/>
      <c r="N50" s="64">
        <v>1607</v>
      </c>
      <c r="O50" s="107"/>
    </row>
    <row r="51" spans="1:15" ht="14.65" thickBot="1" x14ac:dyDescent="0.5">
      <c r="A51" s="42"/>
      <c r="B51" s="42"/>
      <c r="C51" s="42"/>
      <c r="D51" s="42"/>
      <c r="E51" s="42"/>
      <c r="F51" s="42" t="s">
        <v>127</v>
      </c>
      <c r="G51" s="42"/>
      <c r="H51" s="46">
        <v>0</v>
      </c>
      <c r="I51" s="46">
        <f t="shared" si="11"/>
        <v>0</v>
      </c>
      <c r="J51" s="115">
        <f t="shared" si="10"/>
        <v>0</v>
      </c>
      <c r="K51" s="107"/>
      <c r="L51" s="99">
        <v>0</v>
      </c>
      <c r="M51" s="107"/>
      <c r="N51" s="64">
        <v>1477</v>
      </c>
      <c r="O51" s="107"/>
    </row>
    <row r="52" spans="1:15" x14ac:dyDescent="0.45">
      <c r="A52" s="42"/>
      <c r="B52" s="42"/>
      <c r="C52" s="42"/>
      <c r="D52" s="42"/>
      <c r="E52" s="42" t="s">
        <v>126</v>
      </c>
      <c r="F52" s="42"/>
      <c r="G52" s="42"/>
      <c r="H52" s="53">
        <f>SUM(H46:H51)</f>
        <v>12429.400000000001</v>
      </c>
      <c r="I52" s="53">
        <f>SUM(I46:I51)</f>
        <v>8379.52</v>
      </c>
      <c r="J52" s="120">
        <f>SUM(J46:J51)</f>
        <v>20808.919999999998</v>
      </c>
      <c r="K52" s="107"/>
      <c r="L52" s="103">
        <f>SUM(L46:L51)</f>
        <v>25887</v>
      </c>
      <c r="M52" s="107"/>
      <c r="N52" s="68">
        <f>SUM(N46:N51)</f>
        <v>28204</v>
      </c>
      <c r="O52" s="107"/>
    </row>
    <row r="53" spans="1:15" x14ac:dyDescent="0.45">
      <c r="A53" s="42"/>
      <c r="B53" s="42"/>
      <c r="C53" s="42"/>
      <c r="D53" s="42"/>
      <c r="E53" s="42" t="s">
        <v>125</v>
      </c>
      <c r="F53" s="42"/>
      <c r="G53" s="42"/>
      <c r="H53" s="46"/>
      <c r="I53" s="46"/>
      <c r="J53" s="115"/>
      <c r="K53" s="107"/>
      <c r="L53" s="99"/>
      <c r="M53" s="107"/>
      <c r="N53" s="64"/>
      <c r="O53" s="107"/>
    </row>
    <row r="54" spans="1:15" x14ac:dyDescent="0.45">
      <c r="A54" s="42"/>
      <c r="B54" s="42"/>
      <c r="C54" s="42"/>
      <c r="D54" s="42"/>
      <c r="E54" s="42"/>
      <c r="F54" s="42" t="s">
        <v>124</v>
      </c>
      <c r="G54" s="42"/>
      <c r="H54" s="46">
        <v>180.02</v>
      </c>
      <c r="I54" s="46">
        <v>0</v>
      </c>
      <c r="J54" s="115">
        <f t="shared" ref="J54:J56" si="12">I54+H54</f>
        <v>180.02</v>
      </c>
      <c r="K54" s="107"/>
      <c r="L54" s="99">
        <v>1182</v>
      </c>
      <c r="M54" s="107"/>
      <c r="N54" s="64">
        <v>0</v>
      </c>
      <c r="O54" s="107"/>
    </row>
    <row r="55" spans="1:15" x14ac:dyDescent="0.45">
      <c r="A55" s="42"/>
      <c r="B55" s="42"/>
      <c r="C55" s="42"/>
      <c r="D55" s="42"/>
      <c r="E55" s="42"/>
      <c r="F55" s="42" t="s">
        <v>123</v>
      </c>
      <c r="G55" s="42"/>
      <c r="H55" s="46">
        <v>0</v>
      </c>
      <c r="I55" s="46">
        <f t="shared" ref="I55" si="13">H55/8*4</f>
        <v>0</v>
      </c>
      <c r="J55" s="115">
        <f t="shared" si="12"/>
        <v>0</v>
      </c>
      <c r="K55" s="107"/>
      <c r="L55" s="99">
        <v>9575</v>
      </c>
      <c r="M55" s="107"/>
      <c r="N55" s="64">
        <v>0</v>
      </c>
      <c r="O55" s="107"/>
    </row>
    <row r="56" spans="1:15" ht="14.65" thickBot="1" x14ac:dyDescent="0.5">
      <c r="A56" s="42"/>
      <c r="B56" s="42"/>
      <c r="C56" s="42"/>
      <c r="D56" s="42"/>
      <c r="F56" s="42" t="s">
        <v>122</v>
      </c>
      <c r="G56" s="42"/>
      <c r="H56" s="46">
        <v>800.04</v>
      </c>
      <c r="I56" s="46">
        <f>H56*9</f>
        <v>7200.36</v>
      </c>
      <c r="J56" s="115">
        <f t="shared" si="12"/>
        <v>8000.4</v>
      </c>
      <c r="K56" s="107"/>
      <c r="L56" s="99">
        <v>16237</v>
      </c>
      <c r="M56" s="107"/>
      <c r="N56" s="64">
        <f>(12242*0.1)+12242</f>
        <v>13466.2</v>
      </c>
      <c r="O56" s="107"/>
    </row>
    <row r="57" spans="1:15" x14ac:dyDescent="0.45">
      <c r="A57" s="42"/>
      <c r="B57" s="42"/>
      <c r="C57" s="42"/>
      <c r="D57" s="42"/>
      <c r="E57" s="42" t="s">
        <v>120</v>
      </c>
      <c r="F57" s="42"/>
      <c r="G57" s="42"/>
      <c r="H57" s="53">
        <f>SUM(H54:H56)</f>
        <v>980.06</v>
      </c>
      <c r="I57" s="53">
        <f>SUM(I54:I56)</f>
        <v>7200.36</v>
      </c>
      <c r="J57" s="120">
        <f>SUM(J54:J56)</f>
        <v>8180.42</v>
      </c>
      <c r="K57" s="107"/>
      <c r="L57" s="103">
        <f>SUM(L54:L56)</f>
        <v>26994</v>
      </c>
      <c r="M57" s="107"/>
      <c r="N57" s="68">
        <f>SUM(N54:N56)</f>
        <v>13466.2</v>
      </c>
      <c r="O57" s="107"/>
    </row>
    <row r="58" spans="1:15" x14ac:dyDescent="0.45">
      <c r="A58" s="42"/>
      <c r="B58" s="42"/>
      <c r="C58" s="42"/>
      <c r="D58" s="42"/>
      <c r="E58" s="42" t="s">
        <v>119</v>
      </c>
      <c r="F58" s="42"/>
      <c r="G58" s="42"/>
      <c r="H58" s="46"/>
      <c r="I58" s="46"/>
      <c r="J58" s="115"/>
      <c r="K58" s="107"/>
      <c r="L58" s="99"/>
      <c r="M58" s="107"/>
      <c r="N58" s="64"/>
      <c r="O58" s="107"/>
    </row>
    <row r="59" spans="1:15" x14ac:dyDescent="0.45">
      <c r="A59" s="42"/>
      <c r="B59" s="42"/>
      <c r="C59" s="42"/>
      <c r="D59" s="42"/>
      <c r="E59" s="42"/>
      <c r="F59" s="42" t="s">
        <v>118</v>
      </c>
      <c r="G59" s="42"/>
      <c r="H59" s="46">
        <v>2257.9899999999998</v>
      </c>
      <c r="I59" s="46">
        <f t="shared" ref="I59:I68" si="14">H59/8*4</f>
        <v>1128.9949999999999</v>
      </c>
      <c r="J59" s="115">
        <f t="shared" ref="J59:J62" si="15">I59+H59</f>
        <v>3386.9849999999997</v>
      </c>
      <c r="K59" s="107"/>
      <c r="L59" s="99">
        <v>9853</v>
      </c>
      <c r="M59" s="107"/>
      <c r="N59" s="64">
        <v>9600</v>
      </c>
      <c r="O59" s="107"/>
    </row>
    <row r="60" spans="1:15" x14ac:dyDescent="0.45">
      <c r="A60" s="42"/>
      <c r="B60" s="42"/>
      <c r="C60" s="42"/>
      <c r="D60" s="42"/>
      <c r="E60" s="42"/>
      <c r="F60" s="42" t="s">
        <v>117</v>
      </c>
      <c r="G60" s="42"/>
      <c r="H60" s="46">
        <v>640.48</v>
      </c>
      <c r="I60" s="46">
        <f t="shared" si="14"/>
        <v>320.24</v>
      </c>
      <c r="J60" s="115">
        <f t="shared" si="15"/>
        <v>960.72</v>
      </c>
      <c r="K60" s="107"/>
      <c r="L60" s="99">
        <v>2325</v>
      </c>
      <c r="M60" s="107"/>
      <c r="N60" s="64">
        <v>2500</v>
      </c>
      <c r="O60" s="107"/>
    </row>
    <row r="61" spans="1:15" x14ac:dyDescent="0.45">
      <c r="A61" s="42"/>
      <c r="B61" s="42"/>
      <c r="C61" s="42"/>
      <c r="D61" s="42"/>
      <c r="E61" s="42"/>
      <c r="F61" s="42" t="s">
        <v>116</v>
      </c>
      <c r="G61" s="42"/>
      <c r="H61" s="46">
        <v>100</v>
      </c>
      <c r="I61" s="46">
        <f t="shared" si="14"/>
        <v>50</v>
      </c>
      <c r="J61" s="115">
        <f t="shared" si="15"/>
        <v>150</v>
      </c>
      <c r="K61" s="107"/>
      <c r="L61" s="99">
        <v>391</v>
      </c>
      <c r="M61" s="107"/>
      <c r="N61" s="64">
        <v>2000</v>
      </c>
      <c r="O61" s="107"/>
    </row>
    <row r="62" spans="1:15" ht="14.65" thickBot="1" x14ac:dyDescent="0.5">
      <c r="A62" s="42"/>
      <c r="B62" s="42"/>
      <c r="C62" s="42"/>
      <c r="D62" s="42"/>
      <c r="E62" s="42"/>
      <c r="F62" s="42" t="s">
        <v>115</v>
      </c>
      <c r="G62" s="42"/>
      <c r="H62" s="46">
        <v>0</v>
      </c>
      <c r="I62" s="46">
        <f t="shared" si="14"/>
        <v>0</v>
      </c>
      <c r="J62" s="115">
        <f t="shared" si="15"/>
        <v>0</v>
      </c>
      <c r="K62" s="107"/>
      <c r="L62" s="99">
        <v>2771</v>
      </c>
      <c r="M62" s="107"/>
      <c r="N62" s="64">
        <v>3000</v>
      </c>
      <c r="O62" s="107"/>
    </row>
    <row r="63" spans="1:15" x14ac:dyDescent="0.45">
      <c r="A63" s="42"/>
      <c r="B63" s="42"/>
      <c r="C63" s="42"/>
      <c r="D63" s="42"/>
      <c r="E63" s="42" t="s">
        <v>114</v>
      </c>
      <c r="F63" s="42"/>
      <c r="G63" s="42"/>
      <c r="H63" s="53">
        <f>SUM(H59:H62)</f>
        <v>2998.47</v>
      </c>
      <c r="I63" s="53">
        <f>SUM(I59:I62)</f>
        <v>1499.2349999999999</v>
      </c>
      <c r="J63" s="120">
        <f>SUM(J59:J62)</f>
        <v>4497.7049999999999</v>
      </c>
      <c r="K63" s="107"/>
      <c r="L63" s="103">
        <f>SUM(L59:L62)</f>
        <v>15340</v>
      </c>
      <c r="M63" s="107"/>
      <c r="N63" s="68">
        <f>SUM(N59:N62)</f>
        <v>17100</v>
      </c>
      <c r="O63" s="107"/>
    </row>
    <row r="64" spans="1:15" x14ac:dyDescent="0.45">
      <c r="A64" s="42"/>
      <c r="B64" s="42"/>
      <c r="C64" s="42"/>
      <c r="D64" s="42"/>
      <c r="E64" s="42" t="s">
        <v>113</v>
      </c>
      <c r="F64" s="42"/>
      <c r="G64" s="42"/>
      <c r="H64" s="46">
        <v>8935.91</v>
      </c>
      <c r="I64" s="46">
        <f>(SUM(I35:I43)+I72)*0.0765</f>
        <v>5358.7821599999988</v>
      </c>
      <c r="J64" s="115">
        <f t="shared" ref="J64:J68" si="16">I64+H64</f>
        <v>14294.692159999999</v>
      </c>
      <c r="K64" s="107"/>
      <c r="L64" s="99">
        <v>11513</v>
      </c>
      <c r="M64" s="107"/>
      <c r="N64" s="69">
        <v>16000</v>
      </c>
      <c r="O64" s="107"/>
    </row>
    <row r="65" spans="1:16" x14ac:dyDescent="0.45">
      <c r="A65" s="42"/>
      <c r="B65" s="42"/>
      <c r="C65" s="42"/>
      <c r="D65" s="42"/>
      <c r="E65" s="42" t="s">
        <v>112</v>
      </c>
      <c r="F65" s="42"/>
      <c r="G65" s="42"/>
      <c r="H65" s="46">
        <v>204.75</v>
      </c>
      <c r="I65" s="46">
        <f t="shared" si="14"/>
        <v>102.375</v>
      </c>
      <c r="J65" s="115">
        <f t="shared" si="16"/>
        <v>307.125</v>
      </c>
      <c r="K65" s="107"/>
      <c r="L65" s="99">
        <v>452</v>
      </c>
      <c r="M65" s="107"/>
      <c r="N65" s="64">
        <v>452</v>
      </c>
      <c r="O65" s="107"/>
    </row>
    <row r="66" spans="1:16" x14ac:dyDescent="0.45">
      <c r="A66" s="42"/>
      <c r="B66" s="42"/>
      <c r="C66" s="42"/>
      <c r="D66" s="42"/>
      <c r="E66" s="42" t="s">
        <v>111</v>
      </c>
      <c r="F66" s="42"/>
      <c r="G66" s="42"/>
      <c r="H66" s="46">
        <v>175.1</v>
      </c>
      <c r="I66" s="46">
        <f t="shared" si="14"/>
        <v>87.55</v>
      </c>
      <c r="J66" s="115">
        <f t="shared" si="16"/>
        <v>262.64999999999998</v>
      </c>
      <c r="K66" s="107"/>
      <c r="L66" s="99">
        <v>0</v>
      </c>
      <c r="M66" s="107"/>
      <c r="N66" s="64">
        <v>0</v>
      </c>
      <c r="O66" s="107"/>
    </row>
    <row r="67" spans="1:16" x14ac:dyDescent="0.45">
      <c r="A67" s="42"/>
      <c r="B67" s="42"/>
      <c r="C67" s="42"/>
      <c r="D67" s="42"/>
      <c r="E67" s="42" t="s">
        <v>110</v>
      </c>
      <c r="F67" s="42"/>
      <c r="G67" s="42"/>
      <c r="H67" s="46">
        <v>0</v>
      </c>
      <c r="I67" s="46">
        <f t="shared" si="14"/>
        <v>0</v>
      </c>
      <c r="J67" s="115">
        <f t="shared" si="16"/>
        <v>0</v>
      </c>
      <c r="K67" s="107"/>
      <c r="L67" s="99">
        <v>0</v>
      </c>
      <c r="M67" s="107"/>
      <c r="N67" s="64">
        <v>19762</v>
      </c>
      <c r="O67" s="107"/>
    </row>
    <row r="68" spans="1:16" ht="14.65" thickBot="1" x14ac:dyDescent="0.5">
      <c r="A68" s="42"/>
      <c r="B68" s="42"/>
      <c r="C68" s="42"/>
      <c r="D68" s="42"/>
      <c r="E68" s="42" t="s">
        <v>109</v>
      </c>
      <c r="F68" s="42"/>
      <c r="G68" s="42"/>
      <c r="H68" s="46">
        <v>1516.37</v>
      </c>
      <c r="I68" s="46">
        <f t="shared" si="14"/>
        <v>758.18499999999995</v>
      </c>
      <c r="J68" s="115">
        <f t="shared" si="16"/>
        <v>2274.5549999999998</v>
      </c>
      <c r="K68" s="107"/>
      <c r="L68" s="99">
        <v>3052</v>
      </c>
      <c r="M68" s="107"/>
      <c r="N68" s="64">
        <v>3052</v>
      </c>
      <c r="O68" s="107"/>
    </row>
    <row r="69" spans="1:16" s="43" customFormat="1" x14ac:dyDescent="0.45">
      <c r="A69" s="42"/>
      <c r="B69" s="42"/>
      <c r="C69" s="42"/>
      <c r="D69" s="42" t="s">
        <v>108</v>
      </c>
      <c r="E69" s="42"/>
      <c r="F69" s="42"/>
      <c r="G69" s="42"/>
      <c r="H69" s="45">
        <f>H44+H52+H57+H63+H64+H65+H68+H66+H67</f>
        <v>216986.87</v>
      </c>
      <c r="I69" s="45">
        <f>I44+I52+I57+I63+I64+I65+I68+I66+I67</f>
        <v>124261.52716</v>
      </c>
      <c r="J69" s="117">
        <f>J44+J52+J57+J63+J64+J65+J68+J66+J67</f>
        <v>341248.39715999999</v>
      </c>
      <c r="K69" s="108"/>
      <c r="L69" s="100">
        <f>L44+L52+L57+L63+L64+L65+L68+L66+L67</f>
        <v>393852</v>
      </c>
      <c r="M69" s="108"/>
      <c r="N69" s="65">
        <f>N44+N52+N57+N63+N64+N65+N68+N66+N67</f>
        <v>411934.2</v>
      </c>
      <c r="O69" s="108"/>
      <c r="P69" s="167"/>
    </row>
    <row r="70" spans="1:16" x14ac:dyDescent="0.45">
      <c r="A70" s="42"/>
      <c r="B70" s="42"/>
      <c r="C70" s="42"/>
      <c r="D70" s="42" t="s">
        <v>107</v>
      </c>
      <c r="E70" s="42"/>
      <c r="F70" s="42"/>
      <c r="G70" s="42"/>
      <c r="H70" s="46"/>
      <c r="I70" s="46"/>
      <c r="J70" s="115"/>
      <c r="K70" s="107"/>
      <c r="L70" s="99"/>
      <c r="M70" s="107"/>
      <c r="N70" s="64"/>
      <c r="O70" s="107"/>
      <c r="P70" s="168"/>
    </row>
    <row r="71" spans="1:16" x14ac:dyDescent="0.45">
      <c r="A71" s="42"/>
      <c r="B71" s="42"/>
      <c r="C71" s="42"/>
      <c r="D71" s="42"/>
      <c r="E71" s="42" t="s">
        <v>106</v>
      </c>
      <c r="F71" s="42"/>
      <c r="G71" s="42"/>
      <c r="H71" s="46">
        <v>2834.67</v>
      </c>
      <c r="I71" s="46">
        <f t="shared" ref="I71:I76" si="17">H71/8*4</f>
        <v>1417.335</v>
      </c>
      <c r="J71" s="115">
        <v>6300</v>
      </c>
      <c r="K71" s="107"/>
      <c r="L71" s="99">
        <v>6390</v>
      </c>
      <c r="M71" s="107"/>
      <c r="N71" s="64">
        <v>6000</v>
      </c>
      <c r="O71" s="107"/>
    </row>
    <row r="72" spans="1:16" x14ac:dyDescent="0.45">
      <c r="A72" s="42"/>
      <c r="B72" s="42"/>
      <c r="C72" s="42"/>
      <c r="D72" s="42"/>
      <c r="E72" s="42" t="s">
        <v>105</v>
      </c>
      <c r="F72" s="42"/>
      <c r="G72" s="42"/>
      <c r="H72" s="46">
        <v>10668.84</v>
      </c>
      <c r="I72" s="46">
        <f>10*19.12*16</f>
        <v>3059.2000000000003</v>
      </c>
      <c r="J72" s="115">
        <f t="shared" ref="J72:J76" si="18">I72+H72</f>
        <v>13728.04</v>
      </c>
      <c r="K72" s="107"/>
      <c r="L72" s="99">
        <v>11000</v>
      </c>
      <c r="M72" s="107"/>
      <c r="N72" s="64">
        <v>18000</v>
      </c>
      <c r="O72" s="107"/>
    </row>
    <row r="73" spans="1:16" x14ac:dyDescent="0.45">
      <c r="A73" s="42"/>
      <c r="B73" s="42"/>
      <c r="C73" s="42"/>
      <c r="D73" s="42"/>
      <c r="E73" s="42" t="s">
        <v>103</v>
      </c>
      <c r="F73" s="42"/>
      <c r="G73" s="42"/>
      <c r="H73" s="46">
        <v>1438.75</v>
      </c>
      <c r="I73" s="46">
        <f t="shared" si="17"/>
        <v>719.375</v>
      </c>
      <c r="J73" s="115">
        <f t="shared" si="18"/>
        <v>2158.125</v>
      </c>
      <c r="K73" s="107"/>
      <c r="L73" s="99">
        <v>2074</v>
      </c>
      <c r="M73" s="107"/>
      <c r="N73" s="92">
        <v>2000</v>
      </c>
      <c r="O73" s="107"/>
    </row>
    <row r="74" spans="1:16" x14ac:dyDescent="0.45">
      <c r="A74" s="42"/>
      <c r="B74" s="42"/>
      <c r="C74" s="42"/>
      <c r="D74" s="42"/>
      <c r="E74" s="42" t="s">
        <v>102</v>
      </c>
      <c r="F74" s="42"/>
      <c r="G74" s="42"/>
      <c r="H74" s="46">
        <v>590</v>
      </c>
      <c r="I74" s="46">
        <f t="shared" si="17"/>
        <v>295</v>
      </c>
      <c r="J74" s="115">
        <f t="shared" si="18"/>
        <v>885</v>
      </c>
      <c r="K74" s="107"/>
      <c r="L74" s="99">
        <v>2100</v>
      </c>
      <c r="M74" s="107"/>
      <c r="N74" s="92">
        <v>1100</v>
      </c>
      <c r="O74" s="107"/>
    </row>
    <row r="75" spans="1:16" x14ac:dyDescent="0.45">
      <c r="A75" s="42"/>
      <c r="B75" s="42"/>
      <c r="C75" s="42"/>
      <c r="D75" s="42"/>
      <c r="E75" s="42" t="s">
        <v>101</v>
      </c>
      <c r="F75" s="42"/>
      <c r="G75" s="42"/>
      <c r="H75" s="46">
        <v>4438.8999999999996</v>
      </c>
      <c r="I75" s="46">
        <f t="shared" si="17"/>
        <v>2219.4499999999998</v>
      </c>
      <c r="J75" s="115">
        <f t="shared" si="18"/>
        <v>6658.3499999999995</v>
      </c>
      <c r="K75" s="107"/>
      <c r="L75" s="99">
        <v>6420</v>
      </c>
      <c r="M75" s="107"/>
      <c r="N75" s="92">
        <v>6000</v>
      </c>
      <c r="O75" s="107"/>
    </row>
    <row r="76" spans="1:16" x14ac:dyDescent="0.45">
      <c r="A76" s="42"/>
      <c r="B76" s="42"/>
      <c r="C76" s="42"/>
      <c r="D76" s="42"/>
      <c r="E76" s="42" t="s">
        <v>100</v>
      </c>
      <c r="F76" s="42"/>
      <c r="G76" s="42"/>
      <c r="H76" s="46">
        <v>1605.51</v>
      </c>
      <c r="I76" s="46">
        <f t="shared" si="17"/>
        <v>802.755</v>
      </c>
      <c r="J76" s="115">
        <f t="shared" si="18"/>
        <v>2408.2649999999999</v>
      </c>
      <c r="K76" s="107"/>
      <c r="L76" s="99">
        <v>7788</v>
      </c>
      <c r="M76" s="107"/>
      <c r="N76" s="92">
        <v>10000</v>
      </c>
      <c r="O76" s="107"/>
      <c r="P76" s="166" t="s">
        <v>192</v>
      </c>
    </row>
    <row r="77" spans="1:16" x14ac:dyDescent="0.45">
      <c r="A77" s="42"/>
      <c r="B77" s="42"/>
      <c r="C77" s="42"/>
      <c r="D77" s="42"/>
      <c r="E77" s="42" t="s">
        <v>98</v>
      </c>
      <c r="F77" s="42"/>
      <c r="G77" s="42"/>
      <c r="H77" s="46"/>
      <c r="I77" s="46"/>
      <c r="J77" s="115"/>
      <c r="K77" s="107"/>
      <c r="L77" s="99"/>
      <c r="M77" s="107"/>
      <c r="N77" s="92"/>
      <c r="O77" s="107"/>
    </row>
    <row r="78" spans="1:16" x14ac:dyDescent="0.45">
      <c r="A78" s="42"/>
      <c r="B78" s="42"/>
      <c r="C78" s="42"/>
      <c r="D78" s="42"/>
      <c r="E78" s="42"/>
      <c r="F78" s="42" t="s">
        <v>97</v>
      </c>
      <c r="G78" s="42"/>
      <c r="H78" s="46">
        <v>7795</v>
      </c>
      <c r="I78" s="46">
        <f t="shared" ref="I78:I82" si="19">H78/8*4</f>
        <v>3897.5</v>
      </c>
      <c r="J78" s="115">
        <f t="shared" ref="J78:J82" si="20">I78+H78</f>
        <v>11692.5</v>
      </c>
      <c r="K78" s="107"/>
      <c r="L78" s="99">
        <v>10398</v>
      </c>
      <c r="M78" s="107"/>
      <c r="N78" s="92">
        <v>10398</v>
      </c>
      <c r="O78" s="107"/>
    </row>
    <row r="79" spans="1:16" x14ac:dyDescent="0.45">
      <c r="A79" s="42"/>
      <c r="B79" s="42"/>
      <c r="C79" s="42"/>
      <c r="D79" s="42"/>
      <c r="E79" s="42"/>
      <c r="F79" s="42" t="s">
        <v>96</v>
      </c>
      <c r="G79" s="42"/>
      <c r="H79" s="46">
        <v>7239</v>
      </c>
      <c r="I79" s="46">
        <f t="shared" si="19"/>
        <v>3619.5</v>
      </c>
      <c r="J79" s="115">
        <f t="shared" si="20"/>
        <v>10858.5</v>
      </c>
      <c r="K79" s="107"/>
      <c r="L79" s="99">
        <v>13155</v>
      </c>
      <c r="M79" s="107"/>
      <c r="N79" s="92">
        <v>13155</v>
      </c>
      <c r="O79" s="107"/>
    </row>
    <row r="80" spans="1:16" x14ac:dyDescent="0.45">
      <c r="A80" s="42"/>
      <c r="B80" s="42"/>
      <c r="C80" s="42"/>
      <c r="D80" s="42"/>
      <c r="E80" s="42"/>
      <c r="F80" s="42" t="s">
        <v>95</v>
      </c>
      <c r="G80" s="42"/>
      <c r="H80" s="46">
        <v>2285.64</v>
      </c>
      <c r="I80" s="46">
        <f t="shared" si="19"/>
        <v>1142.82</v>
      </c>
      <c r="J80" s="115">
        <f t="shared" si="20"/>
        <v>3428.46</v>
      </c>
      <c r="K80" s="107"/>
      <c r="L80" s="99">
        <v>3926</v>
      </c>
      <c r="M80" s="107"/>
      <c r="N80" s="92">
        <v>4286</v>
      </c>
      <c r="O80" s="107"/>
    </row>
    <row r="81" spans="1:16" x14ac:dyDescent="0.45">
      <c r="A81" s="42"/>
      <c r="B81" s="42"/>
      <c r="C81" s="42"/>
      <c r="D81" s="42"/>
      <c r="E81" s="42"/>
      <c r="F81" s="42" t="s">
        <v>94</v>
      </c>
      <c r="G81" s="42"/>
      <c r="H81" s="46">
        <v>2999.12</v>
      </c>
      <c r="I81" s="46">
        <f t="shared" si="19"/>
        <v>1499.56</v>
      </c>
      <c r="J81" s="115">
        <f t="shared" si="20"/>
        <v>4498.68</v>
      </c>
      <c r="K81" s="107"/>
      <c r="L81" s="99">
        <v>4474</v>
      </c>
      <c r="M81" s="107"/>
      <c r="N81" s="92">
        <v>4474</v>
      </c>
      <c r="O81" s="107"/>
    </row>
    <row r="82" spans="1:16" ht="14.65" thickBot="1" x14ac:dyDescent="0.5">
      <c r="A82" s="42"/>
      <c r="B82" s="42"/>
      <c r="C82" s="42"/>
      <c r="D82" s="42"/>
      <c r="E82" s="42"/>
      <c r="F82" s="42" t="s">
        <v>93</v>
      </c>
      <c r="G82" s="42"/>
      <c r="H82" s="49">
        <v>5268.32</v>
      </c>
      <c r="I82" s="49">
        <f t="shared" si="19"/>
        <v>2634.16</v>
      </c>
      <c r="J82" s="118">
        <f t="shared" si="20"/>
        <v>7902.48</v>
      </c>
      <c r="K82" s="107"/>
      <c r="L82" s="101">
        <v>4910</v>
      </c>
      <c r="M82" s="107"/>
      <c r="N82" s="93">
        <v>4910</v>
      </c>
      <c r="O82" s="107"/>
    </row>
    <row r="83" spans="1:16" ht="14.65" thickBot="1" x14ac:dyDescent="0.5">
      <c r="A83" s="42"/>
      <c r="B83" s="42"/>
      <c r="C83" s="42"/>
      <c r="D83" s="42"/>
      <c r="E83" s="42" t="s">
        <v>92</v>
      </c>
      <c r="F83" s="42"/>
      <c r="G83" s="42"/>
      <c r="H83" s="49">
        <f>SUM(H78:H82)</f>
        <v>25587.079999999998</v>
      </c>
      <c r="I83" s="49">
        <f>SUM(I78:I82)</f>
        <v>12793.539999999999</v>
      </c>
      <c r="J83" s="118">
        <f>SUM(J78:J82)</f>
        <v>38380.619999999995</v>
      </c>
      <c r="K83" s="107"/>
      <c r="L83" s="101">
        <f>SUM(L78:L82)</f>
        <v>36863</v>
      </c>
      <c r="M83" s="107"/>
      <c r="N83" s="93">
        <f>SUM(N78:N82)</f>
        <v>37223</v>
      </c>
      <c r="O83" s="107"/>
    </row>
    <row r="84" spans="1:16" s="43" customFormat="1" x14ac:dyDescent="0.45">
      <c r="A84" s="42"/>
      <c r="B84" s="42"/>
      <c r="C84" s="42"/>
      <c r="D84" s="42" t="s">
        <v>91</v>
      </c>
      <c r="E84" s="42"/>
      <c r="F84" s="42"/>
      <c r="G84" s="42"/>
      <c r="H84" s="41">
        <f t="shared" ref="H84:I84" si="21">SUM(H70:H77)+H83</f>
        <v>47163.75</v>
      </c>
      <c r="I84" s="41">
        <f t="shared" si="21"/>
        <v>21306.654999999999</v>
      </c>
      <c r="J84" s="113">
        <f t="shared" ref="J84:L84" si="22">SUM(J70:J77)+J83</f>
        <v>70518.399999999994</v>
      </c>
      <c r="K84" s="108"/>
      <c r="L84" s="102">
        <f t="shared" si="22"/>
        <v>72635</v>
      </c>
      <c r="M84" s="108"/>
      <c r="N84" s="94">
        <f t="shared" ref="N84" si="23">SUM(N70:N77)+N83</f>
        <v>80323</v>
      </c>
      <c r="O84" s="108"/>
      <c r="P84" s="166"/>
    </row>
    <row r="85" spans="1:16" x14ac:dyDescent="0.45">
      <c r="A85" s="42"/>
      <c r="B85" s="42"/>
      <c r="C85" s="42"/>
      <c r="D85" s="42" t="s">
        <v>90</v>
      </c>
      <c r="E85" s="42"/>
      <c r="F85" s="42"/>
      <c r="G85" s="42"/>
      <c r="H85" s="46"/>
      <c r="I85" s="46"/>
      <c r="J85" s="115"/>
      <c r="K85" s="107"/>
      <c r="L85" s="99"/>
      <c r="M85" s="107"/>
      <c r="N85" s="92"/>
      <c r="O85" s="107"/>
    </row>
    <row r="86" spans="1:16" x14ac:dyDescent="0.45">
      <c r="A86" s="42"/>
      <c r="B86" s="42"/>
      <c r="C86" s="42"/>
      <c r="D86" s="42"/>
      <c r="E86" s="42" t="s">
        <v>89</v>
      </c>
      <c r="F86" s="42"/>
      <c r="G86" s="42"/>
      <c r="H86" s="46">
        <f>174.56+40.15</f>
        <v>214.71</v>
      </c>
      <c r="I86" s="46">
        <f t="shared" ref="I86:I103" si="24">H86/8*4</f>
        <v>107.355</v>
      </c>
      <c r="J86" s="115">
        <f t="shared" ref="J86:J92" si="25">I86+H86</f>
        <v>322.065</v>
      </c>
      <c r="K86" s="107"/>
      <c r="L86" s="99">
        <v>1836</v>
      </c>
      <c r="M86" s="107"/>
      <c r="N86" s="92">
        <v>1836</v>
      </c>
      <c r="O86" s="107"/>
    </row>
    <row r="87" spans="1:16" x14ac:dyDescent="0.45">
      <c r="A87" s="42"/>
      <c r="B87" s="42"/>
      <c r="C87" s="42"/>
      <c r="D87" s="42"/>
      <c r="E87" s="42" t="s">
        <v>88</v>
      </c>
      <c r="F87" s="42"/>
      <c r="G87" s="42"/>
      <c r="H87" s="46">
        <v>7857.68</v>
      </c>
      <c r="I87" s="46">
        <f t="shared" si="24"/>
        <v>3928.84</v>
      </c>
      <c r="J87" s="115">
        <f t="shared" si="25"/>
        <v>11786.52</v>
      </c>
      <c r="K87" s="107"/>
      <c r="L87" s="99">
        <v>9180</v>
      </c>
      <c r="M87" s="107"/>
      <c r="N87" s="92">
        <v>9180</v>
      </c>
      <c r="O87" s="107"/>
    </row>
    <row r="88" spans="1:16" x14ac:dyDescent="0.45">
      <c r="A88" s="42"/>
      <c r="B88" s="42"/>
      <c r="C88" s="42"/>
      <c r="D88" s="42"/>
      <c r="E88" s="42" t="s">
        <v>86</v>
      </c>
      <c r="F88" s="42"/>
      <c r="G88" s="42"/>
      <c r="H88" s="46">
        <v>1247.46</v>
      </c>
      <c r="I88" s="46">
        <f t="shared" si="24"/>
        <v>623.73</v>
      </c>
      <c r="J88" s="115">
        <f t="shared" si="25"/>
        <v>1871.19</v>
      </c>
      <c r="K88" s="107"/>
      <c r="L88" s="99">
        <v>1938</v>
      </c>
      <c r="M88" s="107"/>
      <c r="N88" s="92">
        <v>1938</v>
      </c>
      <c r="O88" s="107"/>
    </row>
    <row r="89" spans="1:16" x14ac:dyDescent="0.45">
      <c r="A89" s="42"/>
      <c r="B89" s="42"/>
      <c r="C89" s="42"/>
      <c r="D89" s="42"/>
      <c r="E89" s="42" t="s">
        <v>85</v>
      </c>
      <c r="F89" s="42"/>
      <c r="G89" s="42"/>
      <c r="H89" s="46">
        <v>0</v>
      </c>
      <c r="I89" s="46">
        <f t="shared" si="24"/>
        <v>0</v>
      </c>
      <c r="J89" s="115">
        <f t="shared" si="25"/>
        <v>0</v>
      </c>
      <c r="K89" s="107"/>
      <c r="L89" s="99">
        <v>1632</v>
      </c>
      <c r="M89" s="107"/>
      <c r="N89" s="92">
        <v>1632</v>
      </c>
      <c r="O89" s="107"/>
    </row>
    <row r="90" spans="1:16" x14ac:dyDescent="0.45">
      <c r="A90" s="42"/>
      <c r="B90" s="42"/>
      <c r="C90" s="42"/>
      <c r="D90" s="42"/>
      <c r="E90" s="42" t="s">
        <v>84</v>
      </c>
      <c r="F90" s="42"/>
      <c r="G90" s="42"/>
      <c r="H90" s="46">
        <v>5200</v>
      </c>
      <c r="I90" s="46">
        <f t="shared" si="24"/>
        <v>2600</v>
      </c>
      <c r="J90" s="115">
        <f t="shared" si="25"/>
        <v>7800</v>
      </c>
      <c r="K90" s="107"/>
      <c r="L90" s="99">
        <v>7956</v>
      </c>
      <c r="M90" s="107"/>
      <c r="N90" s="92">
        <v>7956</v>
      </c>
      <c r="O90" s="107"/>
    </row>
    <row r="91" spans="1:16" x14ac:dyDescent="0.45">
      <c r="A91" s="42"/>
      <c r="B91" s="42"/>
      <c r="C91" s="42"/>
      <c r="D91" s="42"/>
      <c r="E91" s="42" t="s">
        <v>83</v>
      </c>
      <c r="F91" s="42"/>
      <c r="G91" s="42"/>
      <c r="H91" s="46">
        <v>1238.07</v>
      </c>
      <c r="I91" s="46">
        <f t="shared" si="24"/>
        <v>619.03499999999997</v>
      </c>
      <c r="J91" s="115">
        <f t="shared" si="25"/>
        <v>1857.105</v>
      </c>
      <c r="K91" s="107"/>
      <c r="L91" s="99">
        <v>1875</v>
      </c>
      <c r="M91" s="107"/>
      <c r="N91" s="92">
        <v>1875</v>
      </c>
      <c r="O91" s="107"/>
    </row>
    <row r="92" spans="1:16" ht="14.65" thickBot="1" x14ac:dyDescent="0.5">
      <c r="A92" s="42"/>
      <c r="B92" s="42"/>
      <c r="C92" s="42"/>
      <c r="D92" s="42"/>
      <c r="E92" s="42" t="s">
        <v>82</v>
      </c>
      <c r="F92" s="42"/>
      <c r="G92" s="42"/>
      <c r="H92" s="46">
        <v>39.299999999999997</v>
      </c>
      <c r="I92" s="46">
        <f t="shared" si="24"/>
        <v>19.649999999999999</v>
      </c>
      <c r="J92" s="115">
        <f t="shared" si="25"/>
        <v>58.949999999999996</v>
      </c>
      <c r="K92" s="107"/>
      <c r="L92" s="99">
        <v>122</v>
      </c>
      <c r="M92" s="107"/>
      <c r="N92" s="92">
        <v>122</v>
      </c>
      <c r="O92" s="107"/>
    </row>
    <row r="93" spans="1:16" s="43" customFormat="1" x14ac:dyDescent="0.45">
      <c r="A93" s="42"/>
      <c r="B93" s="42"/>
      <c r="C93" s="42"/>
      <c r="D93" s="42" t="s">
        <v>81</v>
      </c>
      <c r="E93" s="42"/>
      <c r="F93" s="42"/>
      <c r="G93" s="42"/>
      <c r="H93" s="45">
        <f t="shared" ref="H93:L93" si="26">SUM(H86:H92)</f>
        <v>15797.22</v>
      </c>
      <c r="I93" s="45">
        <f t="shared" si="26"/>
        <v>7898.61</v>
      </c>
      <c r="J93" s="117">
        <f t="shared" si="26"/>
        <v>23695.83</v>
      </c>
      <c r="K93" s="108"/>
      <c r="L93" s="100">
        <f t="shared" si="26"/>
        <v>24539</v>
      </c>
      <c r="M93" s="108"/>
      <c r="N93" s="95">
        <f t="shared" ref="N93" si="27">SUM(N86:N92)</f>
        <v>24539</v>
      </c>
      <c r="O93" s="108"/>
      <c r="P93" s="166"/>
    </row>
    <row r="94" spans="1:16" s="43" customFormat="1" x14ac:dyDescent="0.45">
      <c r="A94" s="42"/>
      <c r="B94" s="42"/>
      <c r="C94" s="42"/>
      <c r="D94" s="42" t="s">
        <v>80</v>
      </c>
      <c r="F94" s="42"/>
      <c r="G94" s="42"/>
      <c r="H94" s="41">
        <v>13120</v>
      </c>
      <c r="I94" s="41">
        <f t="shared" si="24"/>
        <v>6560</v>
      </c>
      <c r="J94" s="113">
        <v>26177</v>
      </c>
      <c r="K94" s="108"/>
      <c r="L94" s="102">
        <v>26177</v>
      </c>
      <c r="M94" s="108"/>
      <c r="N94" s="94">
        <v>28000</v>
      </c>
      <c r="O94" s="108"/>
      <c r="P94" s="166"/>
    </row>
    <row r="95" spans="1:16" x14ac:dyDescent="0.45">
      <c r="A95" s="42"/>
      <c r="B95" s="42"/>
      <c r="C95" s="42"/>
      <c r="D95" s="42" t="s">
        <v>78</v>
      </c>
      <c r="E95" s="42"/>
      <c r="F95" s="42"/>
      <c r="G95" s="42"/>
      <c r="H95" s="46"/>
      <c r="I95" s="46"/>
      <c r="J95" s="115"/>
      <c r="K95" s="107"/>
      <c r="L95" s="99"/>
      <c r="M95" s="107"/>
      <c r="N95" s="92"/>
      <c r="O95" s="107"/>
    </row>
    <row r="96" spans="1:16" x14ac:dyDescent="0.45">
      <c r="A96" s="42"/>
      <c r="B96" s="42"/>
      <c r="C96" s="42"/>
      <c r="D96" s="42"/>
      <c r="E96" s="42" t="s">
        <v>77</v>
      </c>
      <c r="F96" s="42"/>
      <c r="G96" s="42"/>
      <c r="H96" s="46">
        <v>520.59</v>
      </c>
      <c r="I96" s="46">
        <f t="shared" si="24"/>
        <v>260.29500000000002</v>
      </c>
      <c r="J96" s="115">
        <f t="shared" ref="J96:J98" si="28">I96+H96</f>
        <v>780.88499999999999</v>
      </c>
      <c r="K96" s="107"/>
      <c r="L96" s="99">
        <v>500</v>
      </c>
      <c r="M96" s="107"/>
      <c r="N96" s="92">
        <v>4050</v>
      </c>
      <c r="O96" s="107"/>
    </row>
    <row r="97" spans="1:16" x14ac:dyDescent="0.45">
      <c r="A97" s="42"/>
      <c r="B97" s="42"/>
      <c r="C97" s="42"/>
      <c r="D97" s="42"/>
      <c r="E97" s="42" t="s">
        <v>76</v>
      </c>
      <c r="F97" s="42"/>
      <c r="G97" s="42"/>
      <c r="H97" s="46">
        <v>1482.65</v>
      </c>
      <c r="I97" s="46">
        <f t="shared" si="24"/>
        <v>741.32500000000005</v>
      </c>
      <c r="J97" s="115">
        <f t="shared" si="28"/>
        <v>2223.9750000000004</v>
      </c>
      <c r="K97" s="107"/>
      <c r="L97" s="99">
        <v>2000</v>
      </c>
      <c r="M97" s="107"/>
      <c r="N97" s="92">
        <v>7650</v>
      </c>
      <c r="O97" s="107"/>
    </row>
    <row r="98" spans="1:16" x14ac:dyDescent="0.45">
      <c r="A98" s="42"/>
      <c r="B98" s="42"/>
      <c r="C98" s="42"/>
      <c r="D98" s="42"/>
      <c r="E98" s="42" t="s">
        <v>75</v>
      </c>
      <c r="F98" s="42"/>
      <c r="G98" s="42"/>
      <c r="H98" s="46">
        <v>1659.65</v>
      </c>
      <c r="I98" s="46">
        <f t="shared" si="24"/>
        <v>829.82500000000005</v>
      </c>
      <c r="J98" s="115">
        <f t="shared" si="28"/>
        <v>2489.4750000000004</v>
      </c>
      <c r="K98" s="107"/>
      <c r="L98" s="99">
        <v>1922</v>
      </c>
      <c r="M98" s="107"/>
      <c r="N98" s="92">
        <v>3384.5</v>
      </c>
      <c r="O98" s="107"/>
      <c r="P98" s="166" t="s">
        <v>201</v>
      </c>
    </row>
    <row r="99" spans="1:16" x14ac:dyDescent="0.45">
      <c r="A99" s="42"/>
      <c r="B99" s="42"/>
      <c r="C99" s="42"/>
      <c r="D99" s="42"/>
      <c r="E99" s="42" t="s">
        <v>74</v>
      </c>
      <c r="F99" s="42"/>
      <c r="G99" s="42"/>
      <c r="H99" s="46"/>
      <c r="I99" s="46"/>
      <c r="J99" s="115"/>
      <c r="K99" s="107"/>
      <c r="L99" s="99"/>
      <c r="M99" s="107"/>
      <c r="N99" s="92"/>
      <c r="O99" s="107"/>
    </row>
    <row r="100" spans="1:16" x14ac:dyDescent="0.45">
      <c r="A100" s="42"/>
      <c r="B100" s="42"/>
      <c r="C100" s="42"/>
      <c r="D100" s="42"/>
      <c r="E100" s="42"/>
      <c r="F100" s="42" t="s">
        <v>73</v>
      </c>
      <c r="G100" s="42"/>
      <c r="H100" s="46">
        <v>35</v>
      </c>
      <c r="I100" s="46">
        <f t="shared" si="24"/>
        <v>17.5</v>
      </c>
      <c r="J100" s="115">
        <f t="shared" ref="J100:J103" si="29">I100+H100</f>
        <v>52.5</v>
      </c>
      <c r="K100" s="107"/>
      <c r="L100" s="99">
        <v>5841</v>
      </c>
      <c r="M100" s="107"/>
      <c r="N100" s="92">
        <v>3000</v>
      </c>
      <c r="O100" s="107"/>
    </row>
    <row r="101" spans="1:16" x14ac:dyDescent="0.45">
      <c r="A101" s="42"/>
      <c r="B101" s="42"/>
      <c r="C101" s="42"/>
      <c r="D101" s="42"/>
      <c r="E101" s="42"/>
      <c r="F101" s="42" t="s">
        <v>72</v>
      </c>
      <c r="G101" s="42"/>
      <c r="H101" s="46">
        <v>-60</v>
      </c>
      <c r="I101" s="46">
        <f t="shared" si="24"/>
        <v>-30</v>
      </c>
      <c r="J101" s="115">
        <f t="shared" si="29"/>
        <v>-90</v>
      </c>
      <c r="K101" s="107"/>
      <c r="L101" s="99">
        <v>0</v>
      </c>
      <c r="M101" s="107"/>
      <c r="N101" s="92">
        <v>0</v>
      </c>
      <c r="O101" s="107"/>
    </row>
    <row r="102" spans="1:16" x14ac:dyDescent="0.45">
      <c r="A102" s="42"/>
      <c r="B102" s="42"/>
      <c r="C102" s="42"/>
      <c r="D102" s="42"/>
      <c r="E102" s="42"/>
      <c r="F102" s="42" t="s">
        <v>71</v>
      </c>
      <c r="G102" s="42"/>
      <c r="H102" s="46">
        <v>0</v>
      </c>
      <c r="I102" s="46">
        <f t="shared" si="24"/>
        <v>0</v>
      </c>
      <c r="J102" s="115">
        <f t="shared" si="29"/>
        <v>0</v>
      </c>
      <c r="K102" s="107"/>
      <c r="L102" s="99">
        <v>750</v>
      </c>
      <c r="M102" s="107"/>
      <c r="N102" s="92">
        <v>750</v>
      </c>
      <c r="O102" s="107"/>
    </row>
    <row r="103" spans="1:16" ht="14.65" thickBot="1" x14ac:dyDescent="0.5">
      <c r="A103" s="42"/>
      <c r="B103" s="42"/>
      <c r="C103" s="42"/>
      <c r="D103" s="42"/>
      <c r="E103" s="42"/>
      <c r="F103" s="42" t="s">
        <v>70</v>
      </c>
      <c r="G103" s="42"/>
      <c r="H103" s="46">
        <v>0</v>
      </c>
      <c r="I103" s="46">
        <f t="shared" si="24"/>
        <v>0</v>
      </c>
      <c r="J103" s="115">
        <f t="shared" si="29"/>
        <v>0</v>
      </c>
      <c r="K103" s="107"/>
      <c r="L103" s="99">
        <v>3750</v>
      </c>
      <c r="M103" s="107"/>
      <c r="N103" s="92">
        <v>3750</v>
      </c>
      <c r="O103" s="107"/>
    </row>
    <row r="104" spans="1:16" s="43" customFormat="1" x14ac:dyDescent="0.45">
      <c r="A104" s="42"/>
      <c r="B104" s="42"/>
      <c r="C104" s="42"/>
      <c r="D104" s="42"/>
      <c r="E104" s="42" t="s">
        <v>69</v>
      </c>
      <c r="F104" s="42"/>
      <c r="G104" s="42"/>
      <c r="H104" s="45">
        <f>SUM(H100:H103)</f>
        <v>-25</v>
      </c>
      <c r="I104" s="45">
        <f>SUM(I100:I103)</f>
        <v>-12.5</v>
      </c>
      <c r="J104" s="117">
        <f>SUM(J100:J103)</f>
        <v>-37.5</v>
      </c>
      <c r="K104" s="108"/>
      <c r="L104" s="100">
        <f>SUM(L100:L103)</f>
        <v>10341</v>
      </c>
      <c r="M104" s="108"/>
      <c r="N104" s="95">
        <f>SUM(N100:N103)</f>
        <v>7500</v>
      </c>
      <c r="O104" s="108"/>
      <c r="P104" s="166"/>
    </row>
    <row r="105" spans="1:16" x14ac:dyDescent="0.45">
      <c r="A105" s="42"/>
      <c r="B105" s="42"/>
      <c r="C105" s="42"/>
      <c r="D105" s="42"/>
      <c r="E105" s="42" t="s">
        <v>68</v>
      </c>
      <c r="F105" s="42"/>
      <c r="G105" s="42"/>
      <c r="H105" s="46"/>
      <c r="I105" s="46"/>
      <c r="J105" s="115"/>
      <c r="K105" s="107"/>
      <c r="L105" s="99"/>
      <c r="M105" s="107"/>
      <c r="N105" s="92"/>
      <c r="O105" s="107"/>
    </row>
    <row r="106" spans="1:16" x14ac:dyDescent="0.45">
      <c r="A106" s="42"/>
      <c r="B106" s="42"/>
      <c r="C106" s="42"/>
      <c r="D106" s="42"/>
      <c r="E106" s="42"/>
      <c r="F106" s="42" t="s">
        <v>67</v>
      </c>
      <c r="G106" s="42"/>
      <c r="H106" s="46">
        <v>0</v>
      </c>
      <c r="I106" s="46">
        <f t="shared" ref="I106:I119" si="30">H106/8*4</f>
        <v>0</v>
      </c>
      <c r="J106" s="115">
        <f t="shared" ref="J106:J116" si="31">I106+H106</f>
        <v>0</v>
      </c>
      <c r="K106" s="107"/>
      <c r="L106" s="99">
        <v>0</v>
      </c>
      <c r="M106" s="107"/>
      <c r="N106" s="92">
        <v>200</v>
      </c>
      <c r="O106" s="107"/>
    </row>
    <row r="107" spans="1:16" x14ac:dyDescent="0.45">
      <c r="A107" s="42"/>
      <c r="B107" s="42"/>
      <c r="C107" s="42"/>
      <c r="D107" s="42"/>
      <c r="E107" s="42"/>
      <c r="F107" s="42" t="s">
        <v>66</v>
      </c>
      <c r="G107" s="42"/>
      <c r="H107" s="46">
        <v>0</v>
      </c>
      <c r="I107" s="46">
        <f t="shared" si="30"/>
        <v>0</v>
      </c>
      <c r="J107" s="115">
        <f t="shared" si="31"/>
        <v>0</v>
      </c>
      <c r="K107" s="107"/>
      <c r="L107" s="99">
        <v>0</v>
      </c>
      <c r="M107" s="107"/>
      <c r="N107" s="92">
        <v>100</v>
      </c>
      <c r="O107" s="107"/>
    </row>
    <row r="108" spans="1:16" x14ac:dyDescent="0.45">
      <c r="A108" s="42"/>
      <c r="B108" s="42"/>
      <c r="C108" s="42"/>
      <c r="D108" s="42"/>
      <c r="E108" s="42"/>
      <c r="F108" s="42" t="s">
        <v>65</v>
      </c>
      <c r="G108" s="42"/>
      <c r="H108" s="46">
        <v>0</v>
      </c>
      <c r="I108" s="46">
        <f t="shared" si="30"/>
        <v>0</v>
      </c>
      <c r="J108" s="115">
        <f t="shared" si="31"/>
        <v>0</v>
      </c>
      <c r="K108" s="107"/>
      <c r="L108" s="99">
        <v>0</v>
      </c>
      <c r="M108" s="107"/>
      <c r="N108" s="92">
        <v>250</v>
      </c>
      <c r="O108" s="107"/>
    </row>
    <row r="109" spans="1:16" x14ac:dyDescent="0.45">
      <c r="A109" s="42"/>
      <c r="B109" s="42"/>
      <c r="C109" s="42"/>
      <c r="D109" s="42"/>
      <c r="E109" s="42"/>
      <c r="F109" s="42" t="s">
        <v>64</v>
      </c>
      <c r="G109" s="42"/>
      <c r="H109" s="46">
        <v>0</v>
      </c>
      <c r="I109" s="46">
        <f t="shared" si="30"/>
        <v>0</v>
      </c>
      <c r="J109" s="115">
        <f t="shared" si="31"/>
        <v>0</v>
      </c>
      <c r="K109" s="107"/>
      <c r="L109" s="99">
        <v>0</v>
      </c>
      <c r="M109" s="107"/>
      <c r="N109" s="92">
        <v>400</v>
      </c>
      <c r="O109" s="107"/>
    </row>
    <row r="110" spans="1:16" x14ac:dyDescent="0.45">
      <c r="A110" s="42"/>
      <c r="B110" s="42"/>
      <c r="C110" s="42"/>
      <c r="D110" s="42"/>
      <c r="E110" s="42"/>
      <c r="F110" s="42" t="s">
        <v>63</v>
      </c>
      <c r="G110" s="42"/>
      <c r="H110" s="46">
        <v>0</v>
      </c>
      <c r="I110" s="46">
        <f t="shared" si="30"/>
        <v>0</v>
      </c>
      <c r="J110" s="115">
        <f t="shared" si="31"/>
        <v>0</v>
      </c>
      <c r="K110" s="107"/>
      <c r="L110" s="99">
        <v>0</v>
      </c>
      <c r="M110" s="107"/>
      <c r="N110" s="92">
        <v>400</v>
      </c>
      <c r="O110" s="107"/>
    </row>
    <row r="111" spans="1:16" x14ac:dyDescent="0.45">
      <c r="A111" s="42"/>
      <c r="B111" s="42"/>
      <c r="C111" s="42"/>
      <c r="D111" s="42"/>
      <c r="E111" s="42"/>
      <c r="F111" s="42" t="s">
        <v>62</v>
      </c>
      <c r="G111" s="42"/>
      <c r="H111" s="46">
        <v>0</v>
      </c>
      <c r="I111" s="46">
        <f t="shared" si="30"/>
        <v>0</v>
      </c>
      <c r="J111" s="115">
        <f t="shared" si="31"/>
        <v>0</v>
      </c>
      <c r="K111" s="107"/>
      <c r="L111" s="99">
        <v>0</v>
      </c>
      <c r="M111" s="107"/>
      <c r="N111" s="92">
        <v>400</v>
      </c>
      <c r="O111" s="107"/>
    </row>
    <row r="112" spans="1:16" x14ac:dyDescent="0.45">
      <c r="A112" s="42"/>
      <c r="B112" s="42"/>
      <c r="C112" s="42"/>
      <c r="D112" s="42"/>
      <c r="E112" s="42"/>
      <c r="F112" s="42" t="s">
        <v>61</v>
      </c>
      <c r="G112" s="42"/>
      <c r="H112" s="46">
        <v>0</v>
      </c>
      <c r="I112" s="46">
        <f t="shared" si="30"/>
        <v>0</v>
      </c>
      <c r="J112" s="115">
        <f t="shared" si="31"/>
        <v>0</v>
      </c>
      <c r="K112" s="107"/>
      <c r="L112" s="99">
        <v>0</v>
      </c>
      <c r="M112" s="107"/>
      <c r="N112" s="92">
        <v>200</v>
      </c>
      <c r="O112" s="107"/>
    </row>
    <row r="113" spans="1:16" x14ac:dyDescent="0.45">
      <c r="A113" s="42"/>
      <c r="B113" s="42"/>
      <c r="C113" s="42"/>
      <c r="D113" s="42"/>
      <c r="E113" s="42"/>
      <c r="F113" s="42" t="s">
        <v>60</v>
      </c>
      <c r="G113" s="42"/>
      <c r="H113" s="46">
        <v>0</v>
      </c>
      <c r="I113" s="46">
        <f t="shared" si="30"/>
        <v>0</v>
      </c>
      <c r="J113" s="115">
        <f t="shared" si="31"/>
        <v>0</v>
      </c>
      <c r="K113" s="107"/>
      <c r="L113" s="99">
        <v>0</v>
      </c>
      <c r="M113" s="107"/>
      <c r="N113" s="92">
        <v>700</v>
      </c>
      <c r="O113" s="107"/>
    </row>
    <row r="114" spans="1:16" x14ac:dyDescent="0.45">
      <c r="A114" s="42"/>
      <c r="B114" s="42"/>
      <c r="C114" s="42"/>
      <c r="D114" s="42"/>
      <c r="E114" s="42"/>
      <c r="F114" s="42" t="s">
        <v>59</v>
      </c>
      <c r="G114" s="42"/>
      <c r="H114" s="46">
        <v>0</v>
      </c>
      <c r="I114" s="46">
        <f t="shared" si="30"/>
        <v>0</v>
      </c>
      <c r="J114" s="115">
        <f t="shared" si="31"/>
        <v>0</v>
      </c>
      <c r="K114" s="107"/>
      <c r="L114" s="99">
        <v>0</v>
      </c>
      <c r="M114" s="107"/>
      <c r="N114" s="92">
        <v>0</v>
      </c>
      <c r="O114" s="107"/>
    </row>
    <row r="115" spans="1:16" x14ac:dyDescent="0.45">
      <c r="A115" s="42"/>
      <c r="B115" s="42"/>
      <c r="C115" s="42"/>
      <c r="D115" s="42"/>
      <c r="E115" s="42"/>
      <c r="F115" s="42" t="s">
        <v>58</v>
      </c>
      <c r="G115" s="42"/>
      <c r="H115" s="46">
        <v>0</v>
      </c>
      <c r="I115" s="46">
        <f t="shared" si="30"/>
        <v>0</v>
      </c>
      <c r="J115" s="115">
        <f t="shared" si="31"/>
        <v>0</v>
      </c>
      <c r="K115" s="107"/>
      <c r="L115" s="99">
        <v>0</v>
      </c>
      <c r="M115" s="107"/>
      <c r="N115" s="92">
        <v>200</v>
      </c>
      <c r="O115" s="107"/>
    </row>
    <row r="116" spans="1:16" ht="14.65" thickBot="1" x14ac:dyDescent="0.5">
      <c r="A116" s="42"/>
      <c r="B116" s="42"/>
      <c r="C116" s="42"/>
      <c r="D116" s="42"/>
      <c r="E116" s="42"/>
      <c r="F116" s="42" t="s">
        <v>57</v>
      </c>
      <c r="G116" s="42"/>
      <c r="H116" s="46">
        <v>701</v>
      </c>
      <c r="I116" s="46">
        <f t="shared" si="30"/>
        <v>350.5</v>
      </c>
      <c r="J116" s="115">
        <f t="shared" si="31"/>
        <v>1051.5</v>
      </c>
      <c r="K116" s="107"/>
      <c r="L116" s="99">
        <v>0</v>
      </c>
      <c r="M116" s="107"/>
      <c r="N116" s="92">
        <v>1000</v>
      </c>
      <c r="O116" s="107"/>
    </row>
    <row r="117" spans="1:16" s="43" customFormat="1" x14ac:dyDescent="0.45">
      <c r="A117" s="42"/>
      <c r="B117" s="42"/>
      <c r="C117" s="42"/>
      <c r="D117" s="42" t="s">
        <v>186</v>
      </c>
      <c r="E117" s="42"/>
      <c r="F117" s="42"/>
      <c r="G117" s="42"/>
      <c r="H117" s="45">
        <f t="shared" ref="H117:J117" si="32">SUM(H96:H99)+H104+SUM(H105:H116)</f>
        <v>4338.8900000000003</v>
      </c>
      <c r="I117" s="45">
        <f t="shared" si="32"/>
        <v>2169.4450000000002</v>
      </c>
      <c r="J117" s="117">
        <f t="shared" si="32"/>
        <v>6508.3350000000009</v>
      </c>
      <c r="K117" s="108"/>
      <c r="L117" s="100">
        <f>SUM(L96:L99)+L104+SUM(L105:L116)</f>
        <v>14763</v>
      </c>
      <c r="M117" s="108"/>
      <c r="N117" s="95">
        <f>SUM(N96:N99)+N104+SUM(N105:N116)</f>
        <v>26434.5</v>
      </c>
      <c r="O117" s="108"/>
      <c r="P117" s="166"/>
    </row>
    <row r="118" spans="1:16" s="43" customFormat="1" x14ac:dyDescent="0.45">
      <c r="A118" s="42"/>
      <c r="B118" s="42"/>
      <c r="C118" s="42"/>
      <c r="D118" s="42" t="s">
        <v>55</v>
      </c>
      <c r="E118" s="42"/>
      <c r="F118" s="42"/>
      <c r="G118" s="42"/>
      <c r="H118" s="41">
        <v>22092.5</v>
      </c>
      <c r="I118" s="41">
        <f t="shared" si="30"/>
        <v>11046.25</v>
      </c>
      <c r="J118" s="113">
        <f t="shared" ref="J118:J119" si="33">I118+H118</f>
        <v>33138.75</v>
      </c>
      <c r="K118" s="108"/>
      <c r="L118" s="102">
        <v>33270</v>
      </c>
      <c r="M118" s="108"/>
      <c r="N118" s="94">
        <v>30587</v>
      </c>
      <c r="O118" s="108"/>
      <c r="P118" s="166" t="s">
        <v>203</v>
      </c>
    </row>
    <row r="119" spans="1:16" s="43" customFormat="1" ht="14.65" thickBot="1" x14ac:dyDescent="0.5">
      <c r="A119" s="42"/>
      <c r="B119" s="42"/>
      <c r="C119" s="42"/>
      <c r="D119" s="42" t="s">
        <v>54</v>
      </c>
      <c r="E119" s="42"/>
      <c r="F119" s="42"/>
      <c r="G119" s="42"/>
      <c r="H119" s="41">
        <v>19559.82</v>
      </c>
      <c r="I119" s="41">
        <f t="shared" si="30"/>
        <v>9779.91</v>
      </c>
      <c r="J119" s="113">
        <f t="shared" si="33"/>
        <v>29339.73</v>
      </c>
      <c r="K119" s="108"/>
      <c r="L119" s="102">
        <v>29210</v>
      </c>
      <c r="M119" s="108"/>
      <c r="N119" s="94">
        <v>31893</v>
      </c>
      <c r="O119" s="108"/>
      <c r="P119" s="166" t="s">
        <v>203</v>
      </c>
    </row>
    <row r="120" spans="1:16" s="43" customFormat="1" ht="14.65" thickBot="1" x14ac:dyDescent="0.5">
      <c r="A120" s="42"/>
      <c r="B120" s="42"/>
      <c r="C120" s="42" t="s">
        <v>53</v>
      </c>
      <c r="D120" s="42"/>
      <c r="E120" s="42"/>
      <c r="F120" s="42"/>
      <c r="G120" s="42"/>
      <c r="H120" s="44">
        <f>SUM(H119,H118,H117,H94,H93,H84,H69)</f>
        <v>339059.05</v>
      </c>
      <c r="I120" s="44">
        <f>SUM(I119,I118,I117,I94,I93,I84,I69)</f>
        <v>183022.39715999999</v>
      </c>
      <c r="J120" s="121">
        <f>SUM(J119,J118,J117,J94,J93,J84,J69)</f>
        <v>530626.44215999998</v>
      </c>
      <c r="K120" s="108"/>
      <c r="L120" s="104">
        <f>SUM(L119,L118,L117,L94,L93,L84,L69)</f>
        <v>594446</v>
      </c>
      <c r="M120" s="108"/>
      <c r="N120" s="96">
        <f>SUM(N119,N118,N117,N94,N93,N84,N69)</f>
        <v>633710.69999999995</v>
      </c>
      <c r="O120" s="108"/>
      <c r="P120" s="166"/>
    </row>
    <row r="121" spans="1:16" x14ac:dyDescent="0.45">
      <c r="A121" s="42" t="s">
        <v>52</v>
      </c>
      <c r="B121" s="42"/>
      <c r="C121" s="42"/>
      <c r="D121" s="42"/>
      <c r="E121" s="42"/>
      <c r="F121" s="42"/>
      <c r="G121" s="42"/>
      <c r="H121" s="45">
        <f>H27-H120</f>
        <v>126400.15999999997</v>
      </c>
      <c r="I121" s="45">
        <f>I27-I120</f>
        <v>-26836.397159999993</v>
      </c>
      <c r="J121" s="117">
        <f>J27-J120</f>
        <v>18.767839999985881</v>
      </c>
      <c r="K121" s="108"/>
      <c r="L121" s="100">
        <f>L27-L120</f>
        <v>252</v>
      </c>
      <c r="M121" s="108"/>
      <c r="N121" s="95">
        <f>N27-N120</f>
        <v>0.30000000004656613</v>
      </c>
      <c r="O121" s="108"/>
    </row>
    <row r="122" spans="1:16" s="29" customFormat="1" ht="7.8" customHeight="1" x14ac:dyDescent="0.45">
      <c r="A122" s="125"/>
      <c r="B122" s="126"/>
      <c r="C122" s="126"/>
      <c r="D122" s="126"/>
      <c r="E122" s="126"/>
      <c r="F122" s="126"/>
      <c r="G122" s="126"/>
      <c r="H122" s="126"/>
      <c r="I122" s="126"/>
      <c r="J122" s="127"/>
      <c r="K122" s="126"/>
      <c r="L122" s="127"/>
      <c r="M122" s="126"/>
      <c r="N122" s="128"/>
      <c r="O122" s="129"/>
      <c r="P122" s="169"/>
    </row>
    <row r="123" spans="1:16" s="29" customFormat="1" x14ac:dyDescent="0.45">
      <c r="A123" s="130"/>
      <c r="B123" s="131" t="s">
        <v>190</v>
      </c>
      <c r="C123" s="131"/>
      <c r="D123" s="131"/>
      <c r="E123" s="131"/>
      <c r="F123" s="131"/>
      <c r="G123" s="131"/>
      <c r="H123" s="131"/>
      <c r="I123" s="131"/>
      <c r="J123" s="132"/>
      <c r="K123" s="131"/>
      <c r="L123" s="132"/>
      <c r="M123" s="131"/>
      <c r="N123" s="132"/>
      <c r="O123" s="133"/>
      <c r="P123" s="169"/>
    </row>
    <row r="124" spans="1:16" s="29" customFormat="1" x14ac:dyDescent="0.45">
      <c r="A124" s="130"/>
      <c r="B124" s="131" t="s">
        <v>198</v>
      </c>
      <c r="C124" s="131"/>
      <c r="D124" s="131"/>
      <c r="E124" s="131"/>
      <c r="F124" s="131"/>
      <c r="G124" s="131"/>
      <c r="H124" s="131"/>
      <c r="I124" s="131"/>
      <c r="J124" s="132"/>
      <c r="K124" s="131"/>
      <c r="L124" s="132"/>
      <c r="M124" s="131"/>
      <c r="N124" s="132"/>
      <c r="O124" s="133"/>
      <c r="P124" s="169"/>
    </row>
    <row r="125" spans="1:16" s="29" customFormat="1" x14ac:dyDescent="0.45">
      <c r="A125" s="130"/>
      <c r="B125" s="135" t="s">
        <v>199</v>
      </c>
      <c r="C125" s="131"/>
      <c r="D125" s="131"/>
      <c r="E125" s="131"/>
      <c r="F125" s="131"/>
      <c r="G125" s="131"/>
      <c r="H125" s="131"/>
      <c r="I125" s="131"/>
      <c r="J125" s="132"/>
      <c r="K125" s="131"/>
      <c r="L125" s="132"/>
      <c r="M125" s="131"/>
      <c r="N125" s="132"/>
      <c r="O125" s="133"/>
      <c r="P125" s="169"/>
    </row>
    <row r="126" spans="1:16" s="29" customFormat="1" x14ac:dyDescent="0.45">
      <c r="A126" s="134"/>
      <c r="B126" s="135" t="s">
        <v>200</v>
      </c>
      <c r="C126" s="135"/>
      <c r="D126" s="135"/>
      <c r="E126" s="135"/>
      <c r="F126" s="135"/>
      <c r="G126" s="135"/>
      <c r="H126" s="135"/>
      <c r="I126" s="135"/>
      <c r="J126" s="136"/>
      <c r="K126" s="135"/>
      <c r="L126" s="136"/>
      <c r="M126" s="135"/>
      <c r="N126" s="136"/>
      <c r="O126" s="137"/>
      <c r="P126" s="169"/>
    </row>
    <row r="127" spans="1:16" s="29" customFormat="1" x14ac:dyDescent="0.45">
      <c r="J127" s="122"/>
      <c r="L127" s="31"/>
      <c r="N127" s="31"/>
      <c r="P127" s="169"/>
    </row>
    <row r="128" spans="1:16" s="29" customFormat="1" x14ac:dyDescent="0.45">
      <c r="J128" s="122"/>
      <c r="L128" s="31"/>
      <c r="N128" s="31"/>
      <c r="P128" s="169"/>
    </row>
    <row r="129" spans="10:16" s="29" customFormat="1" x14ac:dyDescent="0.45">
      <c r="J129" s="122"/>
      <c r="L129" s="31"/>
      <c r="N129" s="31"/>
      <c r="P129" s="169"/>
    </row>
    <row r="130" spans="10:16" s="29" customFormat="1" x14ac:dyDescent="0.45">
      <c r="J130" s="122"/>
      <c r="L130" s="31"/>
      <c r="N130" s="31"/>
      <c r="P130" s="169"/>
    </row>
    <row r="131" spans="10:16" s="29" customFormat="1" x14ac:dyDescent="0.45">
      <c r="J131" s="122"/>
      <c r="L131" s="31"/>
      <c r="N131" s="31"/>
      <c r="P131" s="169"/>
    </row>
    <row r="132" spans="10:16" s="29" customFormat="1" x14ac:dyDescent="0.45">
      <c r="J132" s="122"/>
      <c r="L132" s="31"/>
      <c r="N132" s="31"/>
      <c r="P132" s="169"/>
    </row>
    <row r="133" spans="10:16" s="29" customFormat="1" x14ac:dyDescent="0.45">
      <c r="J133" s="122"/>
      <c r="L133" s="31"/>
      <c r="N133" s="31"/>
      <c r="P133" s="169"/>
    </row>
    <row r="134" spans="10:16" s="29" customFormat="1" x14ac:dyDescent="0.45">
      <c r="J134" s="122"/>
      <c r="L134" s="31"/>
      <c r="N134" s="31"/>
      <c r="P134" s="169"/>
    </row>
    <row r="135" spans="10:16" s="29" customFormat="1" x14ac:dyDescent="0.45">
      <c r="J135" s="122"/>
      <c r="L135" s="31"/>
      <c r="N135" s="31"/>
      <c r="P135" s="169"/>
    </row>
    <row r="136" spans="10:16" s="29" customFormat="1" x14ac:dyDescent="0.45">
      <c r="J136" s="122"/>
      <c r="L136" s="31"/>
      <c r="N136" s="31"/>
      <c r="P136" s="169"/>
    </row>
    <row r="137" spans="10:16" s="29" customFormat="1" x14ac:dyDescent="0.45">
      <c r="J137" s="122"/>
      <c r="L137" s="31"/>
      <c r="N137" s="31"/>
      <c r="P137" s="169"/>
    </row>
    <row r="138" spans="10:16" s="29" customFormat="1" x14ac:dyDescent="0.45">
      <c r="J138" s="122"/>
      <c r="L138" s="31"/>
      <c r="N138" s="31"/>
      <c r="P138" s="169"/>
    </row>
    <row r="139" spans="10:16" s="29" customFormat="1" x14ac:dyDescent="0.45">
      <c r="J139" s="122"/>
      <c r="L139" s="31"/>
      <c r="N139" s="31"/>
      <c r="P139" s="169"/>
    </row>
    <row r="140" spans="10:16" s="29" customFormat="1" x14ac:dyDescent="0.45">
      <c r="J140" s="122"/>
      <c r="L140" s="31"/>
      <c r="N140" s="31"/>
      <c r="P140" s="169"/>
    </row>
    <row r="141" spans="10:16" s="29" customFormat="1" x14ac:dyDescent="0.45">
      <c r="J141" s="122"/>
      <c r="L141" s="31"/>
      <c r="N141" s="31"/>
      <c r="P141" s="169"/>
    </row>
    <row r="142" spans="10:16" s="29" customFormat="1" x14ac:dyDescent="0.45">
      <c r="J142" s="122"/>
      <c r="L142" s="31"/>
      <c r="N142" s="31"/>
      <c r="P142" s="169"/>
    </row>
    <row r="143" spans="10:16" s="29" customFormat="1" x14ac:dyDescent="0.45">
      <c r="J143" s="122"/>
      <c r="L143" s="31"/>
      <c r="N143" s="31"/>
      <c r="P143" s="169"/>
    </row>
    <row r="144" spans="10:16" s="29" customFormat="1" x14ac:dyDescent="0.45">
      <c r="J144" s="122"/>
      <c r="L144" s="31"/>
      <c r="N144" s="31"/>
      <c r="P144" s="169"/>
    </row>
    <row r="145" spans="10:16" s="29" customFormat="1" x14ac:dyDescent="0.45">
      <c r="J145" s="122"/>
      <c r="L145" s="31"/>
      <c r="N145" s="31"/>
      <c r="P145" s="169"/>
    </row>
    <row r="146" spans="10:16" s="29" customFormat="1" x14ac:dyDescent="0.45">
      <c r="J146" s="122"/>
      <c r="L146" s="31"/>
      <c r="N146" s="31"/>
      <c r="P146" s="169"/>
    </row>
    <row r="147" spans="10:16" s="29" customFormat="1" x14ac:dyDescent="0.45">
      <c r="J147" s="122"/>
      <c r="L147" s="31"/>
      <c r="N147" s="31"/>
      <c r="P147" s="169"/>
    </row>
    <row r="148" spans="10:16" s="29" customFormat="1" x14ac:dyDescent="0.45">
      <c r="J148" s="122"/>
      <c r="L148" s="31"/>
      <c r="N148" s="31"/>
      <c r="P148" s="169"/>
    </row>
    <row r="149" spans="10:16" s="29" customFormat="1" x14ac:dyDescent="0.45">
      <c r="J149" s="122"/>
      <c r="L149" s="31"/>
      <c r="N149" s="31"/>
      <c r="P149" s="169"/>
    </row>
    <row r="150" spans="10:16" s="29" customFormat="1" x14ac:dyDescent="0.45">
      <c r="J150" s="122"/>
      <c r="L150" s="31"/>
      <c r="N150" s="31"/>
      <c r="P150" s="169"/>
    </row>
    <row r="151" spans="10:16" s="29" customFormat="1" x14ac:dyDescent="0.45">
      <c r="J151" s="122"/>
      <c r="L151" s="31"/>
      <c r="N151" s="31"/>
      <c r="P151" s="169"/>
    </row>
    <row r="152" spans="10:16" s="29" customFormat="1" x14ac:dyDescent="0.45">
      <c r="J152" s="122"/>
      <c r="L152" s="31"/>
      <c r="N152" s="31"/>
      <c r="P152" s="169"/>
    </row>
    <row r="153" spans="10:16" s="11" customFormat="1" x14ac:dyDescent="0.45">
      <c r="J153" s="123"/>
      <c r="L153" s="19"/>
      <c r="N153" s="19"/>
      <c r="P153" s="170"/>
    </row>
    <row r="154" spans="10:16" s="11" customFormat="1" x14ac:dyDescent="0.45">
      <c r="J154" s="123"/>
      <c r="L154" s="19"/>
      <c r="N154" s="19"/>
      <c r="P154" s="170"/>
    </row>
    <row r="155" spans="10:16" s="11" customFormat="1" x14ac:dyDescent="0.45">
      <c r="J155" s="123"/>
      <c r="L155" s="19"/>
      <c r="N155" s="19"/>
      <c r="P155" s="170"/>
    </row>
    <row r="156" spans="10:16" s="11" customFormat="1" x14ac:dyDescent="0.45">
      <c r="J156" s="123"/>
      <c r="L156" s="19"/>
      <c r="N156" s="19"/>
      <c r="P156" s="170"/>
    </row>
    <row r="157" spans="10:16" s="11" customFormat="1" x14ac:dyDescent="0.45">
      <c r="J157" s="123"/>
      <c r="L157" s="19"/>
      <c r="N157" s="19"/>
      <c r="P157" s="170"/>
    </row>
    <row r="158" spans="10:16" s="11" customFormat="1" x14ac:dyDescent="0.45">
      <c r="J158" s="123"/>
      <c r="L158" s="19"/>
      <c r="N158" s="19"/>
      <c r="P158" s="170"/>
    </row>
    <row r="159" spans="10:16" s="11" customFormat="1" x14ac:dyDescent="0.45">
      <c r="J159" s="123"/>
      <c r="L159" s="19"/>
      <c r="N159" s="19"/>
      <c r="P159" s="170"/>
    </row>
    <row r="160" spans="10:16" s="11" customFormat="1" x14ac:dyDescent="0.45">
      <c r="J160" s="123"/>
      <c r="L160" s="19"/>
      <c r="N160" s="19"/>
      <c r="P160" s="170"/>
    </row>
    <row r="161" spans="10:16" s="11" customFormat="1" x14ac:dyDescent="0.45">
      <c r="J161" s="123"/>
      <c r="L161" s="19"/>
      <c r="N161" s="19"/>
      <c r="P161" s="170"/>
    </row>
    <row r="162" spans="10:16" s="11" customFormat="1" x14ac:dyDescent="0.45">
      <c r="J162" s="123"/>
      <c r="L162" s="19"/>
      <c r="N162" s="19"/>
      <c r="P162" s="170"/>
    </row>
    <row r="163" spans="10:16" s="11" customFormat="1" x14ac:dyDescent="0.45">
      <c r="J163" s="123"/>
      <c r="L163" s="19"/>
      <c r="N163" s="19"/>
      <c r="P163" s="170"/>
    </row>
    <row r="164" spans="10:16" s="11" customFormat="1" x14ac:dyDescent="0.45">
      <c r="J164" s="123"/>
      <c r="L164" s="19"/>
      <c r="N164" s="19"/>
      <c r="P164" s="170"/>
    </row>
    <row r="165" spans="10:16" s="11" customFormat="1" x14ac:dyDescent="0.45">
      <c r="J165" s="123"/>
      <c r="L165" s="19"/>
      <c r="N165" s="19"/>
      <c r="P165" s="170"/>
    </row>
    <row r="166" spans="10:16" s="11" customFormat="1" x14ac:dyDescent="0.45">
      <c r="J166" s="123"/>
      <c r="L166" s="19"/>
      <c r="N166" s="19"/>
      <c r="P166" s="170"/>
    </row>
    <row r="167" spans="10:16" s="11" customFormat="1" x14ac:dyDescent="0.45">
      <c r="J167" s="123"/>
      <c r="L167" s="19"/>
      <c r="N167" s="19"/>
      <c r="P167" s="170"/>
    </row>
    <row r="168" spans="10:16" s="11" customFormat="1" x14ac:dyDescent="0.45">
      <c r="J168" s="123"/>
      <c r="L168" s="19"/>
      <c r="N168" s="19"/>
      <c r="P168" s="170"/>
    </row>
    <row r="169" spans="10:16" s="11" customFormat="1" x14ac:dyDescent="0.45">
      <c r="J169" s="123"/>
      <c r="L169" s="19"/>
      <c r="N169" s="19"/>
      <c r="P169" s="170"/>
    </row>
    <row r="170" spans="10:16" s="11" customFormat="1" x14ac:dyDescent="0.45">
      <c r="J170" s="123"/>
      <c r="L170" s="19"/>
      <c r="N170" s="19"/>
      <c r="P170" s="170"/>
    </row>
    <row r="171" spans="10:16" s="11" customFormat="1" x14ac:dyDescent="0.45">
      <c r="J171" s="123"/>
      <c r="L171" s="19"/>
      <c r="N171" s="19"/>
      <c r="P171" s="170"/>
    </row>
    <row r="172" spans="10:16" s="11" customFormat="1" x14ac:dyDescent="0.45">
      <c r="J172" s="123"/>
      <c r="L172" s="19"/>
      <c r="N172" s="19"/>
      <c r="P172" s="170"/>
    </row>
    <row r="173" spans="10:16" s="11" customFormat="1" x14ac:dyDescent="0.45">
      <c r="J173" s="123"/>
      <c r="L173" s="19"/>
      <c r="N173" s="19"/>
      <c r="P173" s="170"/>
    </row>
    <row r="174" spans="10:16" s="11" customFormat="1" x14ac:dyDescent="0.45">
      <c r="J174" s="123"/>
      <c r="L174" s="19"/>
      <c r="N174" s="19"/>
      <c r="P174" s="170"/>
    </row>
    <row r="175" spans="10:16" s="11" customFormat="1" x14ac:dyDescent="0.45">
      <c r="J175" s="123"/>
      <c r="L175" s="19"/>
      <c r="N175" s="19"/>
      <c r="P175" s="170"/>
    </row>
    <row r="176" spans="10:16" s="11" customFormat="1" x14ac:dyDescent="0.45">
      <c r="J176" s="123"/>
      <c r="L176" s="19"/>
      <c r="N176" s="19"/>
      <c r="P176" s="170"/>
    </row>
    <row r="177" spans="10:16" s="11" customFormat="1" x14ac:dyDescent="0.45">
      <c r="J177" s="123"/>
      <c r="L177" s="19"/>
      <c r="N177" s="19"/>
      <c r="P177" s="170"/>
    </row>
    <row r="178" spans="10:16" s="11" customFormat="1" x14ac:dyDescent="0.45">
      <c r="J178" s="123"/>
      <c r="L178" s="19"/>
      <c r="N178" s="19"/>
      <c r="P178" s="170"/>
    </row>
    <row r="179" spans="10:16" s="11" customFormat="1" x14ac:dyDescent="0.45">
      <c r="J179" s="123"/>
      <c r="L179" s="19"/>
      <c r="N179" s="19"/>
      <c r="P179" s="170"/>
    </row>
    <row r="180" spans="10:16" s="11" customFormat="1" x14ac:dyDescent="0.45">
      <c r="J180" s="123"/>
      <c r="L180" s="19"/>
      <c r="N180" s="19"/>
      <c r="P180" s="170"/>
    </row>
    <row r="181" spans="10:16" s="11" customFormat="1" x14ac:dyDescent="0.45">
      <c r="J181" s="123"/>
      <c r="L181" s="19"/>
      <c r="N181" s="19"/>
      <c r="P181" s="170"/>
    </row>
    <row r="182" spans="10:16" s="11" customFormat="1" x14ac:dyDescent="0.45">
      <c r="J182" s="123"/>
      <c r="L182" s="19"/>
      <c r="N182" s="19"/>
      <c r="P182" s="170"/>
    </row>
    <row r="183" spans="10:16" s="11" customFormat="1" x14ac:dyDescent="0.45">
      <c r="J183" s="123"/>
      <c r="L183" s="19"/>
      <c r="N183" s="19"/>
      <c r="P183" s="170"/>
    </row>
    <row r="184" spans="10:16" s="11" customFormat="1" x14ac:dyDescent="0.45">
      <c r="J184" s="123"/>
      <c r="L184" s="19"/>
      <c r="N184" s="19"/>
      <c r="P184" s="170"/>
    </row>
    <row r="185" spans="10:16" s="11" customFormat="1" x14ac:dyDescent="0.45">
      <c r="J185" s="123"/>
      <c r="L185" s="19"/>
      <c r="N185" s="19"/>
      <c r="P185" s="170"/>
    </row>
    <row r="186" spans="10:16" s="11" customFormat="1" x14ac:dyDescent="0.45">
      <c r="J186" s="123"/>
      <c r="L186" s="19"/>
      <c r="N186" s="19"/>
      <c r="P186" s="170"/>
    </row>
    <row r="187" spans="10:16" s="11" customFormat="1" x14ac:dyDescent="0.45">
      <c r="J187" s="123"/>
      <c r="L187" s="19"/>
      <c r="N187" s="19"/>
      <c r="P187" s="170"/>
    </row>
    <row r="188" spans="10:16" s="11" customFormat="1" x14ac:dyDescent="0.45">
      <c r="J188" s="123"/>
      <c r="L188" s="19"/>
      <c r="N188" s="19"/>
      <c r="P188" s="170"/>
    </row>
    <row r="189" spans="10:16" s="11" customFormat="1" x14ac:dyDescent="0.45">
      <c r="J189" s="123"/>
      <c r="L189" s="19"/>
      <c r="N189" s="19"/>
      <c r="P189" s="170"/>
    </row>
    <row r="190" spans="10:16" s="11" customFormat="1" x14ac:dyDescent="0.45">
      <c r="J190" s="123"/>
      <c r="L190" s="19"/>
      <c r="N190" s="19"/>
      <c r="P190" s="170"/>
    </row>
    <row r="191" spans="10:16" s="11" customFormat="1" x14ac:dyDescent="0.45">
      <c r="J191" s="123"/>
      <c r="L191" s="19"/>
      <c r="N191" s="19"/>
      <c r="P191" s="170"/>
    </row>
    <row r="192" spans="10:16" s="11" customFormat="1" x14ac:dyDescent="0.45">
      <c r="J192" s="123"/>
      <c r="L192" s="19"/>
      <c r="N192" s="19"/>
      <c r="P192" s="170"/>
    </row>
    <row r="193" spans="10:16" s="11" customFormat="1" x14ac:dyDescent="0.45">
      <c r="J193" s="123"/>
      <c r="L193" s="19"/>
      <c r="N193" s="19"/>
      <c r="P193" s="170"/>
    </row>
    <row r="194" spans="10:16" s="11" customFormat="1" x14ac:dyDescent="0.45">
      <c r="J194" s="123"/>
      <c r="L194" s="19"/>
      <c r="N194" s="19"/>
      <c r="P194" s="170"/>
    </row>
    <row r="195" spans="10:16" s="11" customFormat="1" x14ac:dyDescent="0.45">
      <c r="J195" s="123"/>
      <c r="L195" s="19"/>
      <c r="N195" s="19"/>
      <c r="P195" s="170"/>
    </row>
    <row r="196" spans="10:16" s="11" customFormat="1" x14ac:dyDescent="0.45">
      <c r="J196" s="123"/>
      <c r="L196" s="19"/>
      <c r="N196" s="19"/>
      <c r="P196" s="170"/>
    </row>
    <row r="197" spans="10:16" s="11" customFormat="1" x14ac:dyDescent="0.45">
      <c r="J197" s="123"/>
      <c r="L197" s="19"/>
      <c r="N197" s="19"/>
      <c r="P197" s="170"/>
    </row>
    <row r="198" spans="10:16" s="11" customFormat="1" x14ac:dyDescent="0.45">
      <c r="J198" s="123"/>
      <c r="L198" s="19"/>
      <c r="N198" s="19"/>
      <c r="P198" s="170"/>
    </row>
    <row r="199" spans="10:16" s="11" customFormat="1" x14ac:dyDescent="0.45">
      <c r="J199" s="123"/>
      <c r="L199" s="19"/>
      <c r="N199" s="19"/>
      <c r="P199" s="170"/>
    </row>
    <row r="200" spans="10:16" s="11" customFormat="1" x14ac:dyDescent="0.45">
      <c r="J200" s="123"/>
      <c r="L200" s="19"/>
      <c r="N200" s="19"/>
      <c r="P200" s="170"/>
    </row>
    <row r="201" spans="10:16" s="11" customFormat="1" x14ac:dyDescent="0.45">
      <c r="J201" s="123"/>
      <c r="L201" s="19"/>
      <c r="N201" s="19"/>
      <c r="P201" s="170"/>
    </row>
    <row r="202" spans="10:16" s="11" customFormat="1" x14ac:dyDescent="0.45">
      <c r="J202" s="123"/>
      <c r="L202" s="19"/>
      <c r="N202" s="19"/>
      <c r="P202" s="170"/>
    </row>
    <row r="203" spans="10:16" s="11" customFormat="1" x14ac:dyDescent="0.45">
      <c r="J203" s="123"/>
      <c r="L203" s="19"/>
      <c r="N203" s="19"/>
      <c r="P203" s="170"/>
    </row>
    <row r="204" spans="10:16" s="11" customFormat="1" x14ac:dyDescent="0.45">
      <c r="J204" s="123"/>
      <c r="L204" s="19"/>
      <c r="N204" s="19"/>
      <c r="P204" s="170"/>
    </row>
    <row r="205" spans="10:16" s="11" customFormat="1" x14ac:dyDescent="0.45">
      <c r="J205" s="123"/>
      <c r="L205" s="19"/>
      <c r="N205" s="19"/>
      <c r="P205" s="170"/>
    </row>
    <row r="206" spans="10:16" s="11" customFormat="1" x14ac:dyDescent="0.45">
      <c r="J206" s="123"/>
      <c r="L206" s="19"/>
      <c r="N206" s="19"/>
      <c r="P206" s="170"/>
    </row>
    <row r="207" spans="10:16" s="11" customFormat="1" x14ac:dyDescent="0.45">
      <c r="J207" s="123"/>
      <c r="L207" s="19"/>
      <c r="N207" s="19"/>
      <c r="P207" s="170"/>
    </row>
    <row r="208" spans="10:16" s="11" customFormat="1" x14ac:dyDescent="0.45">
      <c r="J208" s="123"/>
      <c r="L208" s="19"/>
      <c r="N208" s="19"/>
      <c r="P208" s="170"/>
    </row>
    <row r="209" spans="10:16" s="29" customFormat="1" x14ac:dyDescent="0.45">
      <c r="J209" s="122"/>
      <c r="L209" s="31"/>
      <c r="N209" s="31"/>
      <c r="P209" s="169"/>
    </row>
    <row r="210" spans="10:16" s="29" customFormat="1" x14ac:dyDescent="0.45">
      <c r="J210" s="122"/>
      <c r="L210" s="31"/>
      <c r="N210" s="31"/>
      <c r="P210" s="169"/>
    </row>
    <row r="211" spans="10:16" s="29" customFormat="1" x14ac:dyDescent="0.45">
      <c r="J211" s="122"/>
      <c r="L211" s="31"/>
      <c r="N211" s="31"/>
      <c r="P211" s="169"/>
    </row>
    <row r="212" spans="10:16" s="29" customFormat="1" x14ac:dyDescent="0.45">
      <c r="J212" s="122"/>
      <c r="L212" s="31"/>
      <c r="N212" s="31"/>
      <c r="P212" s="169"/>
    </row>
    <row r="213" spans="10:16" s="29" customFormat="1" x14ac:dyDescent="0.45">
      <c r="J213" s="122"/>
      <c r="L213" s="31"/>
      <c r="N213" s="31"/>
      <c r="P213" s="169"/>
    </row>
    <row r="214" spans="10:16" s="29" customFormat="1" x14ac:dyDescent="0.45">
      <c r="J214" s="122"/>
      <c r="L214" s="31"/>
      <c r="N214" s="31"/>
      <c r="P214" s="169"/>
    </row>
    <row r="215" spans="10:16" s="29" customFormat="1" x14ac:dyDescent="0.45">
      <c r="J215" s="122"/>
      <c r="L215" s="31"/>
      <c r="N215" s="31"/>
      <c r="P215" s="169"/>
    </row>
    <row r="216" spans="10:16" s="29" customFormat="1" x14ac:dyDescent="0.45">
      <c r="J216" s="122"/>
      <c r="L216" s="31"/>
      <c r="N216" s="31"/>
      <c r="P216" s="169"/>
    </row>
    <row r="217" spans="10:16" s="29" customFormat="1" x14ac:dyDescent="0.45">
      <c r="J217" s="122"/>
      <c r="L217" s="31"/>
      <c r="N217" s="31"/>
      <c r="P217" s="169"/>
    </row>
    <row r="218" spans="10:16" s="29" customFormat="1" x14ac:dyDescent="0.45">
      <c r="J218" s="122"/>
      <c r="L218" s="31"/>
      <c r="N218" s="31"/>
      <c r="P218" s="169"/>
    </row>
    <row r="219" spans="10:16" s="29" customFormat="1" x14ac:dyDescent="0.45">
      <c r="J219" s="122"/>
      <c r="L219" s="31"/>
      <c r="N219" s="31"/>
      <c r="P219" s="169"/>
    </row>
    <row r="220" spans="10:16" s="29" customFormat="1" x14ac:dyDescent="0.45">
      <c r="J220" s="122"/>
      <c r="L220" s="31"/>
      <c r="N220" s="31"/>
      <c r="P220" s="169"/>
    </row>
    <row r="221" spans="10:16" s="29" customFormat="1" x14ac:dyDescent="0.45">
      <c r="J221" s="122"/>
      <c r="L221" s="31"/>
      <c r="N221" s="31"/>
      <c r="P221" s="169"/>
    </row>
    <row r="222" spans="10:16" s="29" customFormat="1" x14ac:dyDescent="0.45">
      <c r="J222" s="122"/>
      <c r="L222" s="31"/>
      <c r="N222" s="31"/>
      <c r="P222" s="169"/>
    </row>
    <row r="223" spans="10:16" s="29" customFormat="1" x14ac:dyDescent="0.45">
      <c r="J223" s="122"/>
      <c r="L223" s="31"/>
      <c r="N223" s="31"/>
      <c r="P223" s="169"/>
    </row>
    <row r="224" spans="10:16" s="29" customFormat="1" x14ac:dyDescent="0.45">
      <c r="J224" s="122"/>
      <c r="L224" s="31"/>
      <c r="N224" s="31"/>
      <c r="P224" s="169"/>
    </row>
    <row r="225" spans="10:16" s="29" customFormat="1" x14ac:dyDescent="0.45">
      <c r="J225" s="122"/>
      <c r="L225" s="31"/>
      <c r="N225" s="31"/>
      <c r="P225" s="169"/>
    </row>
    <row r="226" spans="10:16" s="29" customFormat="1" x14ac:dyDescent="0.45">
      <c r="J226" s="122"/>
      <c r="L226" s="31"/>
      <c r="N226" s="31"/>
      <c r="P226" s="169"/>
    </row>
  </sheetData>
  <printOptions horizontalCentered="1"/>
  <pageMargins left="0.25" right="0.25" top="0.75" bottom="0.75" header="0.3" footer="0.3"/>
  <pageSetup fitToHeight="0" orientation="portrait" r:id="rId1"/>
  <headerFooter>
    <oddFooter>Page &amp;P of &amp;N</oddFooter>
  </headerFooter>
  <rowBreaks count="2" manualBreakCount="2">
    <brk id="44" max="14" man="1"/>
    <brk id="84" max="14" man="1"/>
  </rowBreaks>
  <ignoredErrors>
    <ignoredError sqref="J2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427FE-BEF7-4710-967C-9B58437031E0}">
  <sheetPr>
    <pageSetUpPr fitToPage="1"/>
  </sheetPr>
  <dimension ref="A1:Y144"/>
  <sheetViews>
    <sheetView tabSelected="1" zoomScale="130" zoomScaleNormal="130" workbookViewId="0">
      <pane xSplit="9" ySplit="2" topLeftCell="S3" activePane="bottomRight" state="frozen"/>
      <selection pane="topRight" activeCell="J1" sqref="J1"/>
      <selection pane="bottomLeft" activeCell="A3" sqref="A3"/>
      <selection pane="bottomRight" activeCell="U23" sqref="U23"/>
    </sheetView>
  </sheetViews>
  <sheetFormatPr defaultRowHeight="14.25" x14ac:dyDescent="0.45"/>
  <cols>
    <col min="1" max="1" width="3.1328125" customWidth="1"/>
    <col min="2" max="6" width="1.46484375" customWidth="1"/>
    <col min="7" max="7" width="32.6640625" customWidth="1"/>
    <col min="8" max="8" width="18.86328125" style="19" customWidth="1"/>
    <col min="9" max="9" width="1.33203125" style="11" customWidth="1"/>
    <col min="10" max="22" width="11.53125" style="19" customWidth="1"/>
    <col min="23" max="24" width="9.3984375" style="142" customWidth="1"/>
    <col min="25" max="25" width="9.3984375" style="139" customWidth="1"/>
  </cols>
  <sheetData>
    <row r="1" spans="1:25" ht="18.399999999999999" thickBot="1" x14ac:dyDescent="0.6">
      <c r="A1" s="110" t="s">
        <v>191</v>
      </c>
      <c r="B1" s="111"/>
      <c r="C1" s="111"/>
      <c r="D1" s="111"/>
      <c r="E1" s="111"/>
      <c r="F1" s="111"/>
      <c r="G1" s="111"/>
      <c r="H1" s="158" t="s">
        <v>194</v>
      </c>
      <c r="I1" s="159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</row>
    <row r="2" spans="1:25" ht="18.75" thickTop="1" thickBot="1" x14ac:dyDescent="0.6">
      <c r="A2" s="110" t="s">
        <v>196</v>
      </c>
      <c r="B2" s="112"/>
      <c r="C2" s="112"/>
      <c r="D2" s="112"/>
      <c r="E2" s="112"/>
      <c r="F2" s="112"/>
      <c r="G2" s="112"/>
      <c r="H2" s="145" t="s">
        <v>179</v>
      </c>
      <c r="I2" s="160"/>
      <c r="J2" s="157">
        <v>44378</v>
      </c>
      <c r="K2" s="157">
        <f>J2+30.42</f>
        <v>44408.42</v>
      </c>
      <c r="L2" s="157">
        <f>K2+31</f>
        <v>44439.42</v>
      </c>
      <c r="M2" s="157">
        <f t="shared" ref="M2:O2" si="0">L2+31</f>
        <v>44470.42</v>
      </c>
      <c r="N2" s="157">
        <f t="shared" si="0"/>
        <v>44501.42</v>
      </c>
      <c r="O2" s="157">
        <f t="shared" si="0"/>
        <v>44532.42</v>
      </c>
      <c r="P2" s="157">
        <f t="shared" ref="P2:U2" si="1">O2+30.42</f>
        <v>44562.84</v>
      </c>
      <c r="Q2" s="157">
        <f t="shared" si="1"/>
        <v>44593.259999999995</v>
      </c>
      <c r="R2" s="157">
        <f t="shared" si="1"/>
        <v>44623.679999999993</v>
      </c>
      <c r="S2" s="157">
        <f t="shared" si="1"/>
        <v>44654.099999999991</v>
      </c>
      <c r="T2" s="157">
        <f t="shared" si="1"/>
        <v>44684.51999999999</v>
      </c>
      <c r="U2" s="157">
        <f t="shared" si="1"/>
        <v>44714.939999999988</v>
      </c>
      <c r="V2" s="145" t="s">
        <v>195</v>
      </c>
    </row>
    <row r="3" spans="1:25" ht="14.65" thickTop="1" x14ac:dyDescent="0.45">
      <c r="A3" s="42"/>
      <c r="B3" s="42"/>
      <c r="C3" s="42" t="s">
        <v>178</v>
      </c>
      <c r="D3" s="42"/>
      <c r="E3" s="42"/>
      <c r="F3" s="42"/>
      <c r="G3" s="42"/>
      <c r="H3" s="146"/>
      <c r="I3" s="161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</row>
    <row r="4" spans="1:25" x14ac:dyDescent="0.45">
      <c r="A4" s="42"/>
      <c r="B4" s="42"/>
      <c r="C4" s="42"/>
      <c r="D4" s="42" t="s">
        <v>177</v>
      </c>
      <c r="E4" s="42"/>
      <c r="F4" s="42"/>
      <c r="G4" s="42"/>
      <c r="H4" s="146"/>
      <c r="I4" s="161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</row>
    <row r="5" spans="1:25" x14ac:dyDescent="0.45">
      <c r="A5" s="42"/>
      <c r="B5" s="42"/>
      <c r="C5" s="42"/>
      <c r="D5" s="42"/>
      <c r="E5" s="42" t="s">
        <v>176</v>
      </c>
      <c r="F5" s="42"/>
      <c r="G5" s="42"/>
      <c r="H5" s="146">
        <f>390000*0.96</f>
        <v>374400</v>
      </c>
      <c r="I5" s="161"/>
      <c r="J5" s="146">
        <v>28000</v>
      </c>
      <c r="K5" s="146">
        <v>25700</v>
      </c>
      <c r="L5" s="146">
        <v>24700</v>
      </c>
      <c r="M5" s="146">
        <v>21800</v>
      </c>
      <c r="N5" s="146">
        <v>30100</v>
      </c>
      <c r="O5" s="146">
        <v>45600</v>
      </c>
      <c r="P5" s="146">
        <v>38900</v>
      </c>
      <c r="Q5" s="146">
        <v>31900</v>
      </c>
      <c r="R5" s="146">
        <v>45200</v>
      </c>
      <c r="S5" s="146">
        <v>34800</v>
      </c>
      <c r="T5" s="146">
        <v>25800</v>
      </c>
      <c r="U5" s="146">
        <v>21900</v>
      </c>
      <c r="V5" s="146">
        <f>SUM(J5:U5)</f>
        <v>374400</v>
      </c>
      <c r="W5" s="141">
        <f>SUM(J5:U5)-V5</f>
        <v>0</v>
      </c>
    </row>
    <row r="6" spans="1:25" x14ac:dyDescent="0.45">
      <c r="A6" s="42"/>
      <c r="B6" s="42"/>
      <c r="C6" s="42"/>
      <c r="D6" s="42"/>
      <c r="E6" s="42" t="s">
        <v>175</v>
      </c>
      <c r="F6" s="42"/>
      <c r="G6" s="42"/>
      <c r="H6" s="146">
        <v>8305</v>
      </c>
      <c r="I6" s="161"/>
      <c r="J6" s="146">
        <v>692</v>
      </c>
      <c r="K6" s="146">
        <v>692</v>
      </c>
      <c r="L6" s="146">
        <v>692</v>
      </c>
      <c r="M6" s="146">
        <v>692</v>
      </c>
      <c r="N6" s="146">
        <v>692</v>
      </c>
      <c r="O6" s="146">
        <v>692</v>
      </c>
      <c r="P6" s="146">
        <v>692</v>
      </c>
      <c r="Q6" s="146">
        <v>692</v>
      </c>
      <c r="R6" s="146">
        <v>692</v>
      </c>
      <c r="S6" s="146">
        <v>692</v>
      </c>
      <c r="T6" s="146">
        <v>692</v>
      </c>
      <c r="U6" s="146">
        <v>693</v>
      </c>
      <c r="V6" s="146">
        <f t="shared" ref="V6:V9" si="2">SUM(J6:U6)</f>
        <v>8305</v>
      </c>
      <c r="W6" s="141">
        <f t="shared" ref="W6:W69" si="3">SUM(J6:U6)-V6</f>
        <v>0</v>
      </c>
    </row>
    <row r="7" spans="1:25" x14ac:dyDescent="0.45">
      <c r="A7" s="42"/>
      <c r="B7" s="42"/>
      <c r="C7" s="42"/>
      <c r="D7" s="42"/>
      <c r="E7" s="42" t="s">
        <v>173</v>
      </c>
      <c r="F7" s="42"/>
      <c r="G7" s="42"/>
      <c r="H7" s="146">
        <v>9950</v>
      </c>
      <c r="I7" s="161"/>
      <c r="J7" s="146">
        <v>829</v>
      </c>
      <c r="K7" s="146">
        <v>829</v>
      </c>
      <c r="L7" s="146">
        <v>829</v>
      </c>
      <c r="M7" s="146">
        <v>829</v>
      </c>
      <c r="N7" s="146">
        <v>829</v>
      </c>
      <c r="O7" s="146">
        <v>829</v>
      </c>
      <c r="P7" s="146">
        <v>829</v>
      </c>
      <c r="Q7" s="146">
        <v>829</v>
      </c>
      <c r="R7" s="146">
        <v>829</v>
      </c>
      <c r="S7" s="146">
        <v>829</v>
      </c>
      <c r="T7" s="146">
        <v>830</v>
      </c>
      <c r="U7" s="146">
        <v>830</v>
      </c>
      <c r="V7" s="146">
        <f t="shared" si="2"/>
        <v>9950</v>
      </c>
      <c r="W7" s="141">
        <f t="shared" si="3"/>
        <v>0</v>
      </c>
    </row>
    <row r="8" spans="1:25" ht="14.65" thickBot="1" x14ac:dyDescent="0.5">
      <c r="A8" s="42"/>
      <c r="B8" s="42"/>
      <c r="C8" s="42"/>
      <c r="D8" s="42"/>
      <c r="E8" s="42" t="s">
        <v>172</v>
      </c>
      <c r="F8" s="42"/>
      <c r="G8" s="42"/>
      <c r="H8" s="146">
        <v>0</v>
      </c>
      <c r="I8" s="161"/>
      <c r="J8" s="146">
        <v>0</v>
      </c>
      <c r="K8" s="146">
        <v>0</v>
      </c>
      <c r="L8" s="146">
        <v>0</v>
      </c>
      <c r="M8" s="146">
        <v>0</v>
      </c>
      <c r="N8" s="146">
        <v>0</v>
      </c>
      <c r="O8" s="146">
        <v>0</v>
      </c>
      <c r="P8" s="146">
        <v>0</v>
      </c>
      <c r="Q8" s="146">
        <v>0</v>
      </c>
      <c r="R8" s="146">
        <v>0</v>
      </c>
      <c r="S8" s="146">
        <v>0</v>
      </c>
      <c r="T8" s="146">
        <v>0</v>
      </c>
      <c r="U8" s="146">
        <v>0</v>
      </c>
      <c r="V8" s="146">
        <f t="shared" si="2"/>
        <v>0</v>
      </c>
      <c r="W8" s="141">
        <f t="shared" si="3"/>
        <v>0</v>
      </c>
    </row>
    <row r="9" spans="1:25" s="43" customFormat="1" x14ac:dyDescent="0.45">
      <c r="A9" s="42"/>
      <c r="B9" s="42"/>
      <c r="C9" s="42"/>
      <c r="D9" s="42" t="s">
        <v>171</v>
      </c>
      <c r="E9" s="42"/>
      <c r="F9" s="42"/>
      <c r="G9" s="42"/>
      <c r="H9" s="147">
        <f t="shared" ref="H9:U9" si="4">SUM(H5:H8)</f>
        <v>392655</v>
      </c>
      <c r="I9" s="161"/>
      <c r="J9" s="147">
        <f t="shared" si="4"/>
        <v>29521</v>
      </c>
      <c r="K9" s="147">
        <f t="shared" si="4"/>
        <v>27221</v>
      </c>
      <c r="L9" s="147">
        <f t="shared" si="4"/>
        <v>26221</v>
      </c>
      <c r="M9" s="147">
        <f t="shared" si="4"/>
        <v>23321</v>
      </c>
      <c r="N9" s="147">
        <f t="shared" si="4"/>
        <v>31621</v>
      </c>
      <c r="O9" s="147">
        <f t="shared" si="4"/>
        <v>47121</v>
      </c>
      <c r="P9" s="147">
        <f t="shared" si="4"/>
        <v>40421</v>
      </c>
      <c r="Q9" s="147">
        <f t="shared" si="4"/>
        <v>33421</v>
      </c>
      <c r="R9" s="147">
        <f t="shared" si="4"/>
        <v>46721</v>
      </c>
      <c r="S9" s="147">
        <f t="shared" si="4"/>
        <v>36321</v>
      </c>
      <c r="T9" s="147">
        <f t="shared" si="4"/>
        <v>27322</v>
      </c>
      <c r="U9" s="147">
        <f t="shared" si="4"/>
        <v>23423</v>
      </c>
      <c r="V9" s="147">
        <f t="shared" si="2"/>
        <v>392655</v>
      </c>
      <c r="W9" s="141">
        <f t="shared" si="3"/>
        <v>0</v>
      </c>
      <c r="X9" s="148"/>
      <c r="Y9" s="140"/>
    </row>
    <row r="10" spans="1:25" x14ac:dyDescent="0.45">
      <c r="A10" s="42"/>
      <c r="B10" s="42"/>
      <c r="C10" s="42"/>
      <c r="D10" s="42" t="s">
        <v>170</v>
      </c>
      <c r="E10" s="42"/>
      <c r="F10" s="42"/>
      <c r="G10" s="42"/>
      <c r="H10" s="146"/>
      <c r="I10" s="161"/>
      <c r="J10" s="146">
        <f t="shared" ref="J10:J20" si="5">ROUND(H10/12,0)</f>
        <v>0</v>
      </c>
      <c r="K10" s="146">
        <f t="shared" ref="K10:L10" si="6">J10</f>
        <v>0</v>
      </c>
      <c r="L10" s="146">
        <f t="shared" si="6"/>
        <v>0</v>
      </c>
      <c r="M10" s="146">
        <v>0</v>
      </c>
      <c r="N10" s="146">
        <v>0</v>
      </c>
      <c r="O10" s="146">
        <v>0</v>
      </c>
      <c r="P10" s="146">
        <v>0</v>
      </c>
      <c r="Q10" s="146">
        <v>0</v>
      </c>
      <c r="R10" s="146">
        <v>0</v>
      </c>
      <c r="S10" s="146">
        <v>0</v>
      </c>
      <c r="T10" s="146">
        <v>0</v>
      </c>
      <c r="U10" s="146">
        <v>0</v>
      </c>
      <c r="V10" s="146">
        <f t="shared" ref="V10:V73" si="7">SUM(J10:U10)</f>
        <v>0</v>
      </c>
      <c r="W10" s="141">
        <f t="shared" si="3"/>
        <v>0</v>
      </c>
    </row>
    <row r="11" spans="1:25" x14ac:dyDescent="0.45">
      <c r="A11" s="42"/>
      <c r="B11" s="42"/>
      <c r="C11" s="42"/>
      <c r="D11" s="42"/>
      <c r="E11" s="42" t="s">
        <v>169</v>
      </c>
      <c r="F11" s="42"/>
      <c r="G11" s="42"/>
      <c r="H11" s="146">
        <v>68002</v>
      </c>
      <c r="I11" s="161"/>
      <c r="J11" s="146">
        <f t="shared" si="5"/>
        <v>5667</v>
      </c>
      <c r="K11" s="146">
        <f t="shared" ref="K11:L11" si="8">J11</f>
        <v>5667</v>
      </c>
      <c r="L11" s="146">
        <f t="shared" si="8"/>
        <v>5667</v>
      </c>
      <c r="M11" s="146">
        <v>5667</v>
      </c>
      <c r="N11" s="146">
        <v>5667</v>
      </c>
      <c r="O11" s="146">
        <v>5667</v>
      </c>
      <c r="P11" s="146">
        <v>5667</v>
      </c>
      <c r="Q11" s="146">
        <v>5667</v>
      </c>
      <c r="R11" s="146">
        <v>5667</v>
      </c>
      <c r="S11" s="146">
        <v>5667</v>
      </c>
      <c r="T11" s="146">
        <v>5666</v>
      </c>
      <c r="U11" s="146">
        <v>5666</v>
      </c>
      <c r="V11" s="146">
        <f t="shared" si="7"/>
        <v>68002</v>
      </c>
      <c r="W11" s="141">
        <f t="shared" si="3"/>
        <v>0</v>
      </c>
    </row>
    <row r="12" spans="1:25" x14ac:dyDescent="0.45">
      <c r="A12" s="42"/>
      <c r="B12" s="42"/>
      <c r="C12" s="42"/>
      <c r="D12" s="42"/>
      <c r="E12" s="42" t="s">
        <v>168</v>
      </c>
      <c r="F12" s="42"/>
      <c r="G12" s="42"/>
      <c r="H12" s="146">
        <v>12240</v>
      </c>
      <c r="I12" s="161"/>
      <c r="J12" s="146">
        <f t="shared" si="5"/>
        <v>1020</v>
      </c>
      <c r="K12" s="146">
        <f t="shared" ref="K12:L12" si="9">J12</f>
        <v>1020</v>
      </c>
      <c r="L12" s="146">
        <f t="shared" si="9"/>
        <v>1020</v>
      </c>
      <c r="M12" s="146">
        <v>1020</v>
      </c>
      <c r="N12" s="146">
        <v>1020</v>
      </c>
      <c r="O12" s="146">
        <v>1020</v>
      </c>
      <c r="P12" s="146">
        <v>1020</v>
      </c>
      <c r="Q12" s="146">
        <v>1020</v>
      </c>
      <c r="R12" s="146">
        <v>1020</v>
      </c>
      <c r="S12" s="146">
        <v>1020</v>
      </c>
      <c r="T12" s="146">
        <v>1020</v>
      </c>
      <c r="U12" s="146">
        <v>1020</v>
      </c>
      <c r="V12" s="146">
        <f t="shared" si="7"/>
        <v>12240</v>
      </c>
      <c r="W12" s="141">
        <f t="shared" si="3"/>
        <v>0</v>
      </c>
    </row>
    <row r="13" spans="1:25" x14ac:dyDescent="0.45">
      <c r="A13" s="42"/>
      <c r="B13" s="42"/>
      <c r="C13" s="42"/>
      <c r="D13" s="42"/>
      <c r="E13" s="42" t="s">
        <v>167</v>
      </c>
      <c r="F13" s="42"/>
      <c r="G13" s="42"/>
      <c r="H13" s="146">
        <v>0</v>
      </c>
      <c r="I13" s="161"/>
      <c r="J13" s="146">
        <f t="shared" si="5"/>
        <v>0</v>
      </c>
      <c r="K13" s="146">
        <f t="shared" ref="K13:L13" si="10">J13</f>
        <v>0</v>
      </c>
      <c r="L13" s="146">
        <f t="shared" si="10"/>
        <v>0</v>
      </c>
      <c r="M13" s="146">
        <v>0</v>
      </c>
      <c r="N13" s="146">
        <v>0</v>
      </c>
      <c r="O13" s="146">
        <v>0</v>
      </c>
      <c r="P13" s="146">
        <v>0</v>
      </c>
      <c r="Q13" s="146">
        <v>0</v>
      </c>
      <c r="R13" s="146">
        <v>0</v>
      </c>
      <c r="S13" s="146">
        <v>0</v>
      </c>
      <c r="T13" s="146">
        <v>0</v>
      </c>
      <c r="U13" s="146">
        <v>0</v>
      </c>
      <c r="V13" s="146">
        <f t="shared" si="7"/>
        <v>0</v>
      </c>
      <c r="W13" s="141">
        <f t="shared" si="3"/>
        <v>0</v>
      </c>
    </row>
    <row r="14" spans="1:25" x14ac:dyDescent="0.45">
      <c r="A14" s="42"/>
      <c r="B14" s="42"/>
      <c r="C14" s="42"/>
      <c r="D14" s="42"/>
      <c r="E14" s="42" t="s">
        <v>165</v>
      </c>
      <c r="F14" s="42"/>
      <c r="G14" s="42"/>
      <c r="H14" s="146">
        <v>5600</v>
      </c>
      <c r="I14" s="161"/>
      <c r="J14" s="146">
        <f t="shared" si="5"/>
        <v>467</v>
      </c>
      <c r="K14" s="146">
        <f t="shared" ref="K14:L14" si="11">J14</f>
        <v>467</v>
      </c>
      <c r="L14" s="146">
        <f t="shared" si="11"/>
        <v>467</v>
      </c>
      <c r="M14" s="146">
        <v>467</v>
      </c>
      <c r="N14" s="146">
        <v>467</v>
      </c>
      <c r="O14" s="146">
        <v>467</v>
      </c>
      <c r="P14" s="146">
        <v>467</v>
      </c>
      <c r="Q14" s="146">
        <v>467</v>
      </c>
      <c r="R14" s="146">
        <v>466</v>
      </c>
      <c r="S14" s="146">
        <v>466</v>
      </c>
      <c r="T14" s="146">
        <v>466</v>
      </c>
      <c r="U14" s="146">
        <v>466</v>
      </c>
      <c r="V14" s="146">
        <f t="shared" si="7"/>
        <v>5600</v>
      </c>
      <c r="W14" s="141">
        <f t="shared" si="3"/>
        <v>0</v>
      </c>
    </row>
    <row r="15" spans="1:25" ht="14.65" thickBot="1" x14ac:dyDescent="0.5">
      <c r="A15" s="42"/>
      <c r="B15" s="42"/>
      <c r="C15" s="42"/>
      <c r="D15" s="42"/>
      <c r="E15" s="42" t="s">
        <v>164</v>
      </c>
      <c r="F15" s="42"/>
      <c r="G15" s="42"/>
      <c r="H15" s="149">
        <v>1736</v>
      </c>
      <c r="I15" s="161"/>
      <c r="J15" s="149">
        <f t="shared" si="5"/>
        <v>145</v>
      </c>
      <c r="K15" s="149">
        <f t="shared" ref="K15:L15" si="12">J15</f>
        <v>145</v>
      </c>
      <c r="L15" s="149">
        <f t="shared" si="12"/>
        <v>145</v>
      </c>
      <c r="M15" s="149">
        <v>145</v>
      </c>
      <c r="N15" s="149">
        <v>145</v>
      </c>
      <c r="O15" s="149">
        <v>145</v>
      </c>
      <c r="P15" s="149">
        <v>145</v>
      </c>
      <c r="Q15" s="149">
        <v>145</v>
      </c>
      <c r="R15" s="149">
        <v>144</v>
      </c>
      <c r="S15" s="149">
        <v>144</v>
      </c>
      <c r="T15" s="149">
        <v>144</v>
      </c>
      <c r="U15" s="149">
        <v>144</v>
      </c>
      <c r="V15" s="149">
        <f t="shared" si="7"/>
        <v>1736</v>
      </c>
      <c r="W15" s="141">
        <f t="shared" si="3"/>
        <v>0</v>
      </c>
    </row>
    <row r="16" spans="1:25" s="43" customFormat="1" x14ac:dyDescent="0.45">
      <c r="A16" s="42"/>
      <c r="B16" s="42"/>
      <c r="C16" s="42"/>
      <c r="D16" s="42" t="s">
        <v>163</v>
      </c>
      <c r="E16" s="42"/>
      <c r="F16" s="42"/>
      <c r="G16" s="42"/>
      <c r="H16" s="150">
        <f>SUM(H11:H15)</f>
        <v>87578</v>
      </c>
      <c r="I16" s="161"/>
      <c r="J16" s="150">
        <f t="shared" ref="J16:V16" si="13">SUM(J11:J15)</f>
        <v>7299</v>
      </c>
      <c r="K16" s="150">
        <f t="shared" si="13"/>
        <v>7299</v>
      </c>
      <c r="L16" s="150">
        <f t="shared" si="13"/>
        <v>7299</v>
      </c>
      <c r="M16" s="150">
        <f t="shared" si="13"/>
        <v>7299</v>
      </c>
      <c r="N16" s="150">
        <f t="shared" si="13"/>
        <v>7299</v>
      </c>
      <c r="O16" s="150">
        <f t="shared" si="13"/>
        <v>7299</v>
      </c>
      <c r="P16" s="150">
        <f t="shared" si="13"/>
        <v>7299</v>
      </c>
      <c r="Q16" s="150">
        <f t="shared" si="13"/>
        <v>7299</v>
      </c>
      <c r="R16" s="150">
        <f t="shared" si="13"/>
        <v>7297</v>
      </c>
      <c r="S16" s="150">
        <f t="shared" si="13"/>
        <v>7297</v>
      </c>
      <c r="T16" s="150">
        <f t="shared" si="13"/>
        <v>7296</v>
      </c>
      <c r="U16" s="150">
        <f t="shared" si="13"/>
        <v>7296</v>
      </c>
      <c r="V16" s="150">
        <f t="shared" si="13"/>
        <v>87578</v>
      </c>
      <c r="W16" s="141">
        <f t="shared" si="3"/>
        <v>0</v>
      </c>
      <c r="X16" s="148"/>
      <c r="Y16" s="140"/>
    </row>
    <row r="17" spans="1:25" x14ac:dyDescent="0.45">
      <c r="A17" s="42"/>
      <c r="B17" s="42"/>
      <c r="C17" s="42"/>
      <c r="D17" s="42" t="s">
        <v>162</v>
      </c>
      <c r="E17" s="42"/>
      <c r="F17" s="42"/>
      <c r="G17" s="42"/>
      <c r="H17" s="146"/>
      <c r="I17" s="161"/>
      <c r="J17" s="146">
        <f t="shared" si="5"/>
        <v>0</v>
      </c>
      <c r="K17" s="146">
        <f t="shared" ref="K17:L17" si="14">J17</f>
        <v>0</v>
      </c>
      <c r="L17" s="146">
        <f t="shared" si="14"/>
        <v>0</v>
      </c>
      <c r="M17" s="146">
        <v>0</v>
      </c>
      <c r="N17" s="146">
        <v>0</v>
      </c>
      <c r="O17" s="146">
        <v>0</v>
      </c>
      <c r="P17" s="146">
        <v>0</v>
      </c>
      <c r="Q17" s="146">
        <v>0</v>
      </c>
      <c r="R17" s="146">
        <v>0</v>
      </c>
      <c r="S17" s="146">
        <v>0</v>
      </c>
      <c r="T17" s="146">
        <v>0</v>
      </c>
      <c r="U17" s="146">
        <v>0</v>
      </c>
      <c r="V17" s="146">
        <v>0</v>
      </c>
      <c r="W17" s="141">
        <f t="shared" si="3"/>
        <v>0</v>
      </c>
    </row>
    <row r="18" spans="1:25" x14ac:dyDescent="0.45">
      <c r="A18" s="42"/>
      <c r="B18" s="42"/>
      <c r="C18" s="42"/>
      <c r="D18" s="42"/>
      <c r="E18" s="42" t="s">
        <v>161</v>
      </c>
      <c r="F18" s="42"/>
      <c r="G18" s="42"/>
      <c r="H18" s="146">
        <v>500</v>
      </c>
      <c r="I18" s="161"/>
      <c r="J18" s="146">
        <f t="shared" si="5"/>
        <v>42</v>
      </c>
      <c r="K18" s="146">
        <f t="shared" ref="K18:L18" si="15">J18</f>
        <v>42</v>
      </c>
      <c r="L18" s="146">
        <f t="shared" si="15"/>
        <v>42</v>
      </c>
      <c r="M18" s="146">
        <v>42</v>
      </c>
      <c r="N18" s="146">
        <v>42</v>
      </c>
      <c r="O18" s="146">
        <v>42</v>
      </c>
      <c r="P18" s="146">
        <v>42</v>
      </c>
      <c r="Q18" s="146">
        <v>42</v>
      </c>
      <c r="R18" s="146">
        <v>41</v>
      </c>
      <c r="S18" s="146">
        <v>41</v>
      </c>
      <c r="T18" s="146">
        <v>41</v>
      </c>
      <c r="U18" s="146">
        <v>41</v>
      </c>
      <c r="V18" s="146">
        <v>500</v>
      </c>
      <c r="W18" s="141">
        <f t="shared" si="3"/>
        <v>0</v>
      </c>
    </row>
    <row r="19" spans="1:25" x14ac:dyDescent="0.45">
      <c r="A19" s="42"/>
      <c r="B19" s="42"/>
      <c r="C19" s="42"/>
      <c r="D19" s="42"/>
      <c r="E19" s="42" t="s">
        <v>160</v>
      </c>
      <c r="F19" s="42"/>
      <c r="G19" s="42"/>
      <c r="H19" s="146">
        <v>378</v>
      </c>
      <c r="I19" s="161"/>
      <c r="J19" s="146">
        <v>31</v>
      </c>
      <c r="K19" s="146">
        <f t="shared" ref="K19:L19" si="16">J19</f>
        <v>31</v>
      </c>
      <c r="L19" s="146">
        <f t="shared" si="16"/>
        <v>31</v>
      </c>
      <c r="M19" s="146">
        <v>31</v>
      </c>
      <c r="N19" s="146">
        <v>31</v>
      </c>
      <c r="O19" s="146">
        <v>31</v>
      </c>
      <c r="P19" s="146">
        <v>32</v>
      </c>
      <c r="Q19" s="146">
        <v>32</v>
      </c>
      <c r="R19" s="146">
        <v>32</v>
      </c>
      <c r="S19" s="146">
        <v>32</v>
      </c>
      <c r="T19" s="146">
        <v>32</v>
      </c>
      <c r="U19" s="146">
        <v>32</v>
      </c>
      <c r="V19" s="146">
        <v>378</v>
      </c>
      <c r="W19" s="141">
        <f t="shared" si="3"/>
        <v>0</v>
      </c>
    </row>
    <row r="20" spans="1:25" ht="14.65" thickBot="1" x14ac:dyDescent="0.5">
      <c r="A20" s="42"/>
      <c r="B20" s="42"/>
      <c r="C20" s="42"/>
      <c r="D20" s="42"/>
      <c r="E20" s="42" t="s">
        <v>159</v>
      </c>
      <c r="F20" s="42"/>
      <c r="G20" s="42"/>
      <c r="H20" s="146">
        <v>600</v>
      </c>
      <c r="I20" s="161"/>
      <c r="J20" s="146">
        <f t="shared" si="5"/>
        <v>50</v>
      </c>
      <c r="K20" s="146">
        <f t="shared" ref="K20:L20" si="17">J20</f>
        <v>50</v>
      </c>
      <c r="L20" s="146">
        <f t="shared" si="17"/>
        <v>50</v>
      </c>
      <c r="M20" s="146">
        <v>50</v>
      </c>
      <c r="N20" s="146">
        <v>50</v>
      </c>
      <c r="O20" s="146">
        <v>50</v>
      </c>
      <c r="P20" s="146">
        <v>50</v>
      </c>
      <c r="Q20" s="146">
        <v>50</v>
      </c>
      <c r="R20" s="146">
        <v>50</v>
      </c>
      <c r="S20" s="146">
        <v>50</v>
      </c>
      <c r="T20" s="146">
        <v>50</v>
      </c>
      <c r="U20" s="146">
        <v>50</v>
      </c>
      <c r="V20" s="146">
        <v>600</v>
      </c>
      <c r="W20" s="141">
        <f t="shared" si="3"/>
        <v>0</v>
      </c>
    </row>
    <row r="21" spans="1:25" s="43" customFormat="1" x14ac:dyDescent="0.45">
      <c r="A21" s="42"/>
      <c r="B21" s="42"/>
      <c r="C21" s="42"/>
      <c r="D21" s="42" t="s">
        <v>158</v>
      </c>
      <c r="E21" s="42"/>
      <c r="F21" s="42"/>
      <c r="G21" s="42"/>
      <c r="H21" s="147">
        <f>SUM(H18:H20)</f>
        <v>1478</v>
      </c>
      <c r="I21" s="161"/>
      <c r="J21" s="147">
        <f t="shared" ref="J21:V21" si="18">SUM(J18:J20)</f>
        <v>123</v>
      </c>
      <c r="K21" s="147">
        <f t="shared" si="18"/>
        <v>123</v>
      </c>
      <c r="L21" s="147">
        <f t="shared" si="18"/>
        <v>123</v>
      </c>
      <c r="M21" s="147">
        <f t="shared" si="18"/>
        <v>123</v>
      </c>
      <c r="N21" s="147">
        <f t="shared" si="18"/>
        <v>123</v>
      </c>
      <c r="O21" s="147">
        <f t="shared" si="18"/>
        <v>123</v>
      </c>
      <c r="P21" s="147">
        <f t="shared" si="18"/>
        <v>124</v>
      </c>
      <c r="Q21" s="147">
        <f t="shared" si="18"/>
        <v>124</v>
      </c>
      <c r="R21" s="147">
        <f t="shared" si="18"/>
        <v>123</v>
      </c>
      <c r="S21" s="147">
        <f t="shared" si="18"/>
        <v>123</v>
      </c>
      <c r="T21" s="147">
        <f t="shared" si="18"/>
        <v>123</v>
      </c>
      <c r="U21" s="147">
        <f t="shared" si="18"/>
        <v>123</v>
      </c>
      <c r="V21" s="147">
        <f t="shared" si="18"/>
        <v>1478</v>
      </c>
      <c r="W21" s="141">
        <f t="shared" si="3"/>
        <v>0</v>
      </c>
      <c r="X21" s="148"/>
      <c r="Y21" s="140"/>
    </row>
    <row r="22" spans="1:25" x14ac:dyDescent="0.45">
      <c r="A22" s="42"/>
      <c r="B22" s="42"/>
      <c r="C22" s="42"/>
      <c r="D22" s="42" t="s">
        <v>157</v>
      </c>
      <c r="E22" s="42"/>
      <c r="F22" s="42"/>
      <c r="G22" s="42"/>
      <c r="H22" s="146"/>
      <c r="I22" s="161"/>
      <c r="J22" s="146">
        <v>0</v>
      </c>
      <c r="K22" s="146">
        <v>0</v>
      </c>
      <c r="L22" s="146">
        <v>0</v>
      </c>
      <c r="M22" s="146">
        <v>0</v>
      </c>
      <c r="N22" s="146">
        <v>0</v>
      </c>
      <c r="O22" s="146">
        <v>0</v>
      </c>
      <c r="P22" s="146">
        <v>0</v>
      </c>
      <c r="Q22" s="146">
        <v>0</v>
      </c>
      <c r="R22" s="146">
        <v>0</v>
      </c>
      <c r="S22" s="146">
        <v>0</v>
      </c>
      <c r="T22" s="146">
        <v>0</v>
      </c>
      <c r="U22" s="146">
        <v>0</v>
      </c>
      <c r="V22" s="146">
        <v>0</v>
      </c>
      <c r="W22" s="141">
        <f t="shared" si="3"/>
        <v>0</v>
      </c>
    </row>
    <row r="23" spans="1:25" x14ac:dyDescent="0.45">
      <c r="A23" s="42"/>
      <c r="B23" s="42"/>
      <c r="C23" s="42"/>
      <c r="D23" s="42"/>
      <c r="E23" s="42" t="s">
        <v>156</v>
      </c>
      <c r="F23" s="42"/>
      <c r="G23" s="42"/>
      <c r="H23" s="146">
        <v>91000</v>
      </c>
      <c r="I23" s="161"/>
      <c r="J23" s="146">
        <v>91000</v>
      </c>
      <c r="K23" s="146">
        <v>0</v>
      </c>
      <c r="L23" s="146">
        <v>0</v>
      </c>
      <c r="M23" s="146">
        <v>0</v>
      </c>
      <c r="N23" s="146">
        <v>0</v>
      </c>
      <c r="O23" s="146">
        <v>0</v>
      </c>
      <c r="P23" s="146">
        <v>0</v>
      </c>
      <c r="Q23" s="146">
        <v>0</v>
      </c>
      <c r="R23" s="146">
        <v>0</v>
      </c>
      <c r="S23" s="146">
        <v>0</v>
      </c>
      <c r="T23" s="146">
        <v>0</v>
      </c>
      <c r="U23" s="146">
        <v>0</v>
      </c>
      <c r="V23" s="146">
        <v>91000</v>
      </c>
      <c r="W23" s="141">
        <f t="shared" si="3"/>
        <v>0</v>
      </c>
    </row>
    <row r="24" spans="1:25" x14ac:dyDescent="0.45">
      <c r="A24" s="42"/>
      <c r="B24" s="42"/>
      <c r="C24" s="42"/>
      <c r="D24" s="42"/>
      <c r="E24" s="42" t="s">
        <v>189</v>
      </c>
      <c r="F24" s="42"/>
      <c r="G24" s="42"/>
      <c r="H24" s="146">
        <v>-17000</v>
      </c>
      <c r="I24" s="161"/>
      <c r="J24" s="146">
        <v>-17000</v>
      </c>
      <c r="K24" s="146">
        <v>0</v>
      </c>
      <c r="L24" s="146">
        <v>0</v>
      </c>
      <c r="M24" s="146">
        <v>0</v>
      </c>
      <c r="N24" s="146">
        <v>0</v>
      </c>
      <c r="O24" s="146">
        <v>0</v>
      </c>
      <c r="P24" s="146">
        <v>0</v>
      </c>
      <c r="Q24" s="146">
        <v>0</v>
      </c>
      <c r="R24" s="146">
        <v>0</v>
      </c>
      <c r="S24" s="146">
        <v>0</v>
      </c>
      <c r="T24" s="146">
        <v>0</v>
      </c>
      <c r="U24" s="146">
        <v>0</v>
      </c>
      <c r="V24" s="146">
        <v>-17000</v>
      </c>
      <c r="W24" s="141">
        <f t="shared" si="3"/>
        <v>0</v>
      </c>
    </row>
    <row r="25" spans="1:25" ht="14.65" thickBot="1" x14ac:dyDescent="0.5">
      <c r="A25" s="42"/>
      <c r="B25" s="42"/>
      <c r="C25" s="42"/>
      <c r="D25" s="42"/>
      <c r="E25" s="42" t="s">
        <v>154</v>
      </c>
      <c r="F25" s="42"/>
      <c r="G25" s="42"/>
      <c r="H25" s="149">
        <v>78000</v>
      </c>
      <c r="I25" s="161"/>
      <c r="J25" s="149">
        <v>78000</v>
      </c>
      <c r="K25" s="149">
        <v>0</v>
      </c>
      <c r="L25" s="149">
        <v>0</v>
      </c>
      <c r="M25" s="149">
        <v>0</v>
      </c>
      <c r="N25" s="149">
        <v>0</v>
      </c>
      <c r="O25" s="149">
        <v>0</v>
      </c>
      <c r="P25" s="149">
        <v>0</v>
      </c>
      <c r="Q25" s="149">
        <v>0</v>
      </c>
      <c r="R25" s="149">
        <v>0</v>
      </c>
      <c r="S25" s="149">
        <v>0</v>
      </c>
      <c r="T25" s="149">
        <v>0</v>
      </c>
      <c r="U25" s="149">
        <v>0</v>
      </c>
      <c r="V25" s="149">
        <v>78000</v>
      </c>
      <c r="W25" s="141">
        <f t="shared" si="3"/>
        <v>0</v>
      </c>
    </row>
    <row r="26" spans="1:25" s="43" customFormat="1" ht="14.65" thickBot="1" x14ac:dyDescent="0.5">
      <c r="A26" s="42"/>
      <c r="B26" s="42"/>
      <c r="C26" s="42"/>
      <c r="D26" s="42" t="s">
        <v>153</v>
      </c>
      <c r="E26" s="42"/>
      <c r="F26" s="42"/>
      <c r="G26" s="42"/>
      <c r="H26" s="150">
        <f t="shared" ref="H26:V26" si="19">SUM(H23:H25)</f>
        <v>152000</v>
      </c>
      <c r="I26" s="161"/>
      <c r="J26" s="150">
        <f t="shared" si="19"/>
        <v>152000</v>
      </c>
      <c r="K26" s="150">
        <f t="shared" si="19"/>
        <v>0</v>
      </c>
      <c r="L26" s="150">
        <f t="shared" si="19"/>
        <v>0</v>
      </c>
      <c r="M26" s="150">
        <f t="shared" si="19"/>
        <v>0</v>
      </c>
      <c r="N26" s="150">
        <f t="shared" si="19"/>
        <v>0</v>
      </c>
      <c r="O26" s="150">
        <f t="shared" si="19"/>
        <v>0</v>
      </c>
      <c r="P26" s="150">
        <f t="shared" si="19"/>
        <v>0</v>
      </c>
      <c r="Q26" s="150">
        <f t="shared" si="19"/>
        <v>0</v>
      </c>
      <c r="R26" s="150">
        <f t="shared" si="19"/>
        <v>0</v>
      </c>
      <c r="S26" s="150">
        <f t="shared" si="19"/>
        <v>0</v>
      </c>
      <c r="T26" s="150">
        <f t="shared" si="19"/>
        <v>0</v>
      </c>
      <c r="U26" s="150">
        <f t="shared" si="19"/>
        <v>0</v>
      </c>
      <c r="V26" s="150">
        <f t="shared" si="19"/>
        <v>152000</v>
      </c>
      <c r="W26" s="141">
        <f t="shared" si="3"/>
        <v>0</v>
      </c>
      <c r="X26" s="148"/>
      <c r="Y26" s="140"/>
    </row>
    <row r="27" spans="1:25" s="43" customFormat="1" x14ac:dyDescent="0.45">
      <c r="A27" s="42"/>
      <c r="B27" s="42"/>
      <c r="C27" s="42" t="s">
        <v>6</v>
      </c>
      <c r="D27" s="42"/>
      <c r="E27" s="42"/>
      <c r="F27" s="42"/>
      <c r="G27" s="42"/>
      <c r="H27" s="147">
        <f>H26+H21+H16+H9</f>
        <v>633711</v>
      </c>
      <c r="I27" s="161"/>
      <c r="J27" s="147">
        <f t="shared" ref="J27:V27" si="20">J26+J21+J16+J9</f>
        <v>188943</v>
      </c>
      <c r="K27" s="147">
        <f t="shared" si="20"/>
        <v>34643</v>
      </c>
      <c r="L27" s="147">
        <f t="shared" si="20"/>
        <v>33643</v>
      </c>
      <c r="M27" s="147">
        <f t="shared" si="20"/>
        <v>30743</v>
      </c>
      <c r="N27" s="147">
        <f t="shared" si="20"/>
        <v>39043</v>
      </c>
      <c r="O27" s="147">
        <f t="shared" si="20"/>
        <v>54543</v>
      </c>
      <c r="P27" s="147">
        <f t="shared" si="20"/>
        <v>47844</v>
      </c>
      <c r="Q27" s="147">
        <f t="shared" si="20"/>
        <v>40844</v>
      </c>
      <c r="R27" s="147">
        <f t="shared" si="20"/>
        <v>54141</v>
      </c>
      <c r="S27" s="147">
        <f t="shared" si="20"/>
        <v>43741</v>
      </c>
      <c r="T27" s="147">
        <f t="shared" si="20"/>
        <v>34741</v>
      </c>
      <c r="U27" s="147">
        <f t="shared" si="20"/>
        <v>30842</v>
      </c>
      <c r="V27" s="147">
        <f t="shared" si="20"/>
        <v>633711</v>
      </c>
      <c r="W27" s="141">
        <f t="shared" si="3"/>
        <v>0</v>
      </c>
      <c r="X27" s="148"/>
      <c r="Y27" s="140"/>
    </row>
    <row r="28" spans="1:25" s="43" customFormat="1" x14ac:dyDescent="0.45">
      <c r="A28" s="42"/>
      <c r="B28" s="42"/>
      <c r="C28" s="42"/>
      <c r="D28" s="42"/>
      <c r="E28" s="42"/>
      <c r="F28" s="42"/>
      <c r="G28" s="42"/>
      <c r="H28" s="150"/>
      <c r="I28" s="161"/>
      <c r="J28" s="150">
        <v>0</v>
      </c>
      <c r="K28" s="150">
        <v>0</v>
      </c>
      <c r="L28" s="150">
        <v>0</v>
      </c>
      <c r="M28" s="150">
        <v>0</v>
      </c>
      <c r="N28" s="150">
        <v>0</v>
      </c>
      <c r="O28" s="150">
        <v>0</v>
      </c>
      <c r="P28" s="150">
        <v>0</v>
      </c>
      <c r="Q28" s="150">
        <v>0</v>
      </c>
      <c r="R28" s="150">
        <v>0</v>
      </c>
      <c r="S28" s="150">
        <v>0</v>
      </c>
      <c r="T28" s="150">
        <v>0</v>
      </c>
      <c r="U28" s="150">
        <v>0</v>
      </c>
      <c r="V28" s="150">
        <f t="shared" si="7"/>
        <v>0</v>
      </c>
      <c r="W28" s="141">
        <f t="shared" si="3"/>
        <v>0</v>
      </c>
      <c r="X28" s="148"/>
      <c r="Y28" s="140"/>
    </row>
    <row r="29" spans="1:25" x14ac:dyDescent="0.45">
      <c r="A29" s="42"/>
      <c r="B29" s="42"/>
      <c r="C29" s="42" t="s">
        <v>151</v>
      </c>
      <c r="D29" s="42"/>
      <c r="E29" s="42"/>
      <c r="F29" s="42"/>
      <c r="G29" s="42"/>
      <c r="H29" s="146"/>
      <c r="I29" s="161"/>
      <c r="J29" s="146">
        <v>0</v>
      </c>
      <c r="K29" s="146">
        <v>0</v>
      </c>
      <c r="L29" s="146">
        <v>0</v>
      </c>
      <c r="M29" s="146">
        <v>0</v>
      </c>
      <c r="N29" s="146">
        <v>0</v>
      </c>
      <c r="O29" s="146">
        <v>0</v>
      </c>
      <c r="P29" s="146">
        <v>0</v>
      </c>
      <c r="Q29" s="146">
        <v>0</v>
      </c>
      <c r="R29" s="146">
        <v>0</v>
      </c>
      <c r="S29" s="146">
        <v>0</v>
      </c>
      <c r="T29" s="146">
        <v>0</v>
      </c>
      <c r="U29" s="146">
        <v>0</v>
      </c>
      <c r="V29" s="146">
        <f t="shared" si="7"/>
        <v>0</v>
      </c>
      <c r="W29" s="141">
        <f t="shared" si="3"/>
        <v>0</v>
      </c>
    </row>
    <row r="30" spans="1:25" x14ac:dyDescent="0.45">
      <c r="A30" s="42"/>
      <c r="B30" s="42"/>
      <c r="C30" s="42"/>
      <c r="D30" s="42" t="s">
        <v>150</v>
      </c>
      <c r="E30" s="42"/>
      <c r="F30" s="42"/>
      <c r="G30" s="42"/>
      <c r="H30" s="146"/>
      <c r="I30" s="161"/>
      <c r="J30" s="146">
        <v>0</v>
      </c>
      <c r="K30" s="146">
        <v>0</v>
      </c>
      <c r="L30" s="146">
        <v>0</v>
      </c>
      <c r="M30" s="146">
        <v>0</v>
      </c>
      <c r="N30" s="146">
        <v>0</v>
      </c>
      <c r="O30" s="146">
        <v>0</v>
      </c>
      <c r="P30" s="146">
        <v>0</v>
      </c>
      <c r="Q30" s="146">
        <v>0</v>
      </c>
      <c r="R30" s="146">
        <v>0</v>
      </c>
      <c r="S30" s="146">
        <v>0</v>
      </c>
      <c r="T30" s="146">
        <v>0</v>
      </c>
      <c r="U30" s="146">
        <v>0</v>
      </c>
      <c r="V30" s="146">
        <f t="shared" si="7"/>
        <v>0</v>
      </c>
      <c r="W30" s="141">
        <f t="shared" si="3"/>
        <v>0</v>
      </c>
    </row>
    <row r="31" spans="1:25" x14ac:dyDescent="0.45">
      <c r="A31" s="42"/>
      <c r="B31" s="42"/>
      <c r="C31" s="42"/>
      <c r="D31" s="42"/>
      <c r="E31" s="42" t="s">
        <v>149</v>
      </c>
      <c r="F31" s="42"/>
      <c r="G31" s="42"/>
      <c r="H31" s="146"/>
      <c r="I31" s="161"/>
      <c r="J31" s="146">
        <v>0</v>
      </c>
      <c r="K31" s="146">
        <v>0</v>
      </c>
      <c r="L31" s="146">
        <v>0</v>
      </c>
      <c r="M31" s="146">
        <v>0</v>
      </c>
      <c r="N31" s="146">
        <v>0</v>
      </c>
      <c r="O31" s="146">
        <v>0</v>
      </c>
      <c r="P31" s="146">
        <v>0</v>
      </c>
      <c r="Q31" s="146">
        <v>0</v>
      </c>
      <c r="R31" s="146">
        <v>0</v>
      </c>
      <c r="S31" s="146">
        <v>0</v>
      </c>
      <c r="T31" s="146">
        <v>0</v>
      </c>
      <c r="U31" s="146">
        <v>0</v>
      </c>
      <c r="V31" s="146">
        <f t="shared" si="7"/>
        <v>0</v>
      </c>
      <c r="W31" s="141">
        <f t="shared" si="3"/>
        <v>0</v>
      </c>
    </row>
    <row r="32" spans="1:25" x14ac:dyDescent="0.45">
      <c r="A32" s="42"/>
      <c r="B32" s="42"/>
      <c r="C32" s="42"/>
      <c r="D32" s="42"/>
      <c r="E32" s="42"/>
      <c r="F32" s="42" t="s">
        <v>148</v>
      </c>
      <c r="G32" s="42"/>
      <c r="H32" s="146">
        <v>48000</v>
      </c>
      <c r="I32" s="161"/>
      <c r="J32" s="146">
        <v>4000</v>
      </c>
      <c r="K32" s="146">
        <v>4000</v>
      </c>
      <c r="L32" s="146">
        <v>4000</v>
      </c>
      <c r="M32" s="146">
        <v>4000</v>
      </c>
      <c r="N32" s="146">
        <v>4000</v>
      </c>
      <c r="O32" s="146">
        <v>4000</v>
      </c>
      <c r="P32" s="146">
        <v>4000</v>
      </c>
      <c r="Q32" s="146">
        <v>4000</v>
      </c>
      <c r="R32" s="146">
        <v>4000</v>
      </c>
      <c r="S32" s="146">
        <v>4000</v>
      </c>
      <c r="T32" s="146">
        <v>4000</v>
      </c>
      <c r="U32" s="146">
        <v>4000</v>
      </c>
      <c r="V32" s="146">
        <f t="shared" si="7"/>
        <v>48000</v>
      </c>
      <c r="W32" s="141">
        <f t="shared" si="3"/>
        <v>0</v>
      </c>
    </row>
    <row r="33" spans="1:23" x14ac:dyDescent="0.45">
      <c r="A33" s="42"/>
      <c r="B33" s="42"/>
      <c r="C33" s="42"/>
      <c r="D33" s="42"/>
      <c r="E33" s="42"/>
      <c r="F33" s="42" t="s">
        <v>147</v>
      </c>
      <c r="G33" s="42"/>
      <c r="H33" s="146">
        <v>48000</v>
      </c>
      <c r="I33" s="161"/>
      <c r="J33" s="146">
        <v>4000</v>
      </c>
      <c r="K33" s="146">
        <v>4000</v>
      </c>
      <c r="L33" s="146">
        <v>4000</v>
      </c>
      <c r="M33" s="146">
        <v>4000</v>
      </c>
      <c r="N33" s="146">
        <v>4000</v>
      </c>
      <c r="O33" s="146">
        <v>4000</v>
      </c>
      <c r="P33" s="146">
        <v>4000</v>
      </c>
      <c r="Q33" s="146">
        <v>4000</v>
      </c>
      <c r="R33" s="146">
        <v>4000</v>
      </c>
      <c r="S33" s="146">
        <v>4000</v>
      </c>
      <c r="T33" s="146">
        <v>4000</v>
      </c>
      <c r="U33" s="146">
        <v>4000</v>
      </c>
      <c r="V33" s="146">
        <f t="shared" si="7"/>
        <v>48000</v>
      </c>
      <c r="W33" s="141">
        <f t="shared" si="3"/>
        <v>0</v>
      </c>
    </row>
    <row r="34" spans="1:23" x14ac:dyDescent="0.45">
      <c r="A34" s="42"/>
      <c r="B34" s="42"/>
      <c r="C34" s="42"/>
      <c r="D34" s="42"/>
      <c r="E34" s="42"/>
      <c r="F34" s="42" t="s">
        <v>145</v>
      </c>
      <c r="G34" s="42"/>
      <c r="H34" s="146">
        <v>7344</v>
      </c>
      <c r="I34" s="161"/>
      <c r="J34" s="146">
        <v>612</v>
      </c>
      <c r="K34" s="146">
        <v>612</v>
      </c>
      <c r="L34" s="146">
        <v>612</v>
      </c>
      <c r="M34" s="146">
        <v>612</v>
      </c>
      <c r="N34" s="146">
        <v>612</v>
      </c>
      <c r="O34" s="146">
        <v>612</v>
      </c>
      <c r="P34" s="146">
        <v>612</v>
      </c>
      <c r="Q34" s="146">
        <v>612</v>
      </c>
      <c r="R34" s="146">
        <v>612</v>
      </c>
      <c r="S34" s="146">
        <v>612</v>
      </c>
      <c r="T34" s="146">
        <v>612</v>
      </c>
      <c r="U34" s="146">
        <v>612</v>
      </c>
      <c r="V34" s="146">
        <f t="shared" si="7"/>
        <v>7344</v>
      </c>
      <c r="W34" s="141">
        <f t="shared" si="3"/>
        <v>0</v>
      </c>
    </row>
    <row r="35" spans="1:23" x14ac:dyDescent="0.45">
      <c r="A35" s="42"/>
      <c r="B35" s="42"/>
      <c r="C35" s="42"/>
      <c r="D35" s="42"/>
      <c r="E35" s="42"/>
      <c r="F35" s="42" t="s">
        <v>144</v>
      </c>
      <c r="G35" s="42"/>
      <c r="H35" s="146">
        <v>47700</v>
      </c>
      <c r="I35" s="161"/>
      <c r="J35" s="146">
        <v>3975</v>
      </c>
      <c r="K35" s="146">
        <v>3975</v>
      </c>
      <c r="L35" s="146">
        <v>3975</v>
      </c>
      <c r="M35" s="146">
        <v>3975</v>
      </c>
      <c r="N35" s="146">
        <v>3975</v>
      </c>
      <c r="O35" s="146">
        <v>3975</v>
      </c>
      <c r="P35" s="146">
        <v>3975</v>
      </c>
      <c r="Q35" s="146">
        <v>3975</v>
      </c>
      <c r="R35" s="146">
        <v>3975</v>
      </c>
      <c r="S35" s="146">
        <v>3975</v>
      </c>
      <c r="T35" s="146">
        <v>3975</v>
      </c>
      <c r="U35" s="146">
        <v>3975</v>
      </c>
      <c r="V35" s="146">
        <f t="shared" si="7"/>
        <v>47700</v>
      </c>
      <c r="W35" s="141">
        <f t="shared" si="3"/>
        <v>0</v>
      </c>
    </row>
    <row r="36" spans="1:23" x14ac:dyDescent="0.45">
      <c r="A36" s="42"/>
      <c r="B36" s="42"/>
      <c r="C36" s="42"/>
      <c r="D36" s="42"/>
      <c r="E36" s="42"/>
      <c r="F36" s="42" t="s">
        <v>143</v>
      </c>
      <c r="G36" s="42"/>
      <c r="H36" s="146">
        <v>6500</v>
      </c>
      <c r="I36" s="161"/>
      <c r="J36" s="146">
        <v>542</v>
      </c>
      <c r="K36" s="146">
        <v>542</v>
      </c>
      <c r="L36" s="146">
        <v>542</v>
      </c>
      <c r="M36" s="146">
        <v>542</v>
      </c>
      <c r="N36" s="146">
        <v>542</v>
      </c>
      <c r="O36" s="146">
        <v>542</v>
      </c>
      <c r="P36" s="146">
        <v>542</v>
      </c>
      <c r="Q36" s="146">
        <v>542</v>
      </c>
      <c r="R36" s="146">
        <v>541</v>
      </c>
      <c r="S36" s="146">
        <v>541</v>
      </c>
      <c r="T36" s="146">
        <v>541</v>
      </c>
      <c r="U36" s="146">
        <v>541</v>
      </c>
      <c r="V36" s="146">
        <f t="shared" si="7"/>
        <v>6500</v>
      </c>
      <c r="W36" s="141">
        <f t="shared" si="3"/>
        <v>0</v>
      </c>
    </row>
    <row r="37" spans="1:23" x14ac:dyDescent="0.45">
      <c r="A37" s="42"/>
      <c r="B37" s="42"/>
      <c r="C37" s="42"/>
      <c r="D37" s="42"/>
      <c r="E37" s="42"/>
      <c r="F37" s="42" t="s">
        <v>142</v>
      </c>
      <c r="G37" s="42"/>
      <c r="H37" s="146">
        <v>49000</v>
      </c>
      <c r="I37" s="161"/>
      <c r="J37" s="146">
        <v>4083</v>
      </c>
      <c r="K37" s="146">
        <v>4083</v>
      </c>
      <c r="L37" s="146">
        <v>4083</v>
      </c>
      <c r="M37" s="146">
        <v>4083</v>
      </c>
      <c r="N37" s="146">
        <v>4083</v>
      </c>
      <c r="O37" s="146">
        <v>4083</v>
      </c>
      <c r="P37" s="146">
        <v>4083</v>
      </c>
      <c r="Q37" s="146">
        <v>4083</v>
      </c>
      <c r="R37" s="146">
        <v>4084</v>
      </c>
      <c r="S37" s="146">
        <v>4084</v>
      </c>
      <c r="T37" s="146">
        <v>4084</v>
      </c>
      <c r="U37" s="146">
        <v>4084</v>
      </c>
      <c r="V37" s="146">
        <f t="shared" si="7"/>
        <v>49000</v>
      </c>
      <c r="W37" s="141">
        <f t="shared" si="3"/>
        <v>0</v>
      </c>
    </row>
    <row r="38" spans="1:23" x14ac:dyDescent="0.45">
      <c r="A38" s="42"/>
      <c r="B38" s="42"/>
      <c r="C38" s="42"/>
      <c r="D38" s="42"/>
      <c r="E38" s="42"/>
      <c r="F38" s="42" t="s">
        <v>141</v>
      </c>
      <c r="G38" s="42"/>
      <c r="H38" s="146">
        <v>58500</v>
      </c>
      <c r="I38" s="161"/>
      <c r="J38" s="146">
        <v>4875</v>
      </c>
      <c r="K38" s="146">
        <v>4875</v>
      </c>
      <c r="L38" s="146">
        <v>4875</v>
      </c>
      <c r="M38" s="146">
        <v>4875</v>
      </c>
      <c r="N38" s="146">
        <v>4875</v>
      </c>
      <c r="O38" s="146">
        <v>4875</v>
      </c>
      <c r="P38" s="146">
        <v>4875</v>
      </c>
      <c r="Q38" s="146">
        <v>4875</v>
      </c>
      <c r="R38" s="146">
        <v>4875</v>
      </c>
      <c r="S38" s="146">
        <v>4875</v>
      </c>
      <c r="T38" s="146">
        <v>4875</v>
      </c>
      <c r="U38" s="146">
        <v>4875</v>
      </c>
      <c r="V38" s="146">
        <f t="shared" si="7"/>
        <v>58500</v>
      </c>
      <c r="W38" s="141">
        <f t="shared" si="3"/>
        <v>0</v>
      </c>
    </row>
    <row r="39" spans="1:23" x14ac:dyDescent="0.45">
      <c r="A39" s="42"/>
      <c r="B39" s="42"/>
      <c r="C39" s="42"/>
      <c r="D39" s="42"/>
      <c r="E39" s="42"/>
      <c r="F39" s="42" t="s">
        <v>139</v>
      </c>
      <c r="G39" s="42"/>
      <c r="H39" s="146">
        <v>16068</v>
      </c>
      <c r="I39" s="161"/>
      <c r="J39" s="146">
        <v>1339</v>
      </c>
      <c r="K39" s="146">
        <v>1339</v>
      </c>
      <c r="L39" s="146">
        <v>1339</v>
      </c>
      <c r="M39" s="146">
        <v>1339</v>
      </c>
      <c r="N39" s="146">
        <v>1339</v>
      </c>
      <c r="O39" s="146">
        <v>1339</v>
      </c>
      <c r="P39" s="146">
        <v>1339</v>
      </c>
      <c r="Q39" s="146">
        <v>1339</v>
      </c>
      <c r="R39" s="146">
        <v>1339</v>
      </c>
      <c r="S39" s="146">
        <v>1339</v>
      </c>
      <c r="T39" s="146">
        <v>1339</v>
      </c>
      <c r="U39" s="146">
        <v>1339</v>
      </c>
      <c r="V39" s="146">
        <f t="shared" si="7"/>
        <v>16068</v>
      </c>
      <c r="W39" s="141">
        <f t="shared" si="3"/>
        <v>0</v>
      </c>
    </row>
    <row r="40" spans="1:23" x14ac:dyDescent="0.45">
      <c r="A40" s="42"/>
      <c r="B40" s="42"/>
      <c r="C40" s="42"/>
      <c r="D40" s="42"/>
      <c r="E40" s="42"/>
      <c r="F40" s="42" t="s">
        <v>138</v>
      </c>
      <c r="G40" s="42"/>
      <c r="H40" s="146">
        <v>14771</v>
      </c>
      <c r="I40" s="161"/>
      <c r="J40" s="146">
        <v>1231</v>
      </c>
      <c r="K40" s="146">
        <v>1231</v>
      </c>
      <c r="L40" s="146">
        <v>1231</v>
      </c>
      <c r="M40" s="146">
        <v>1231</v>
      </c>
      <c r="N40" s="146">
        <v>1231</v>
      </c>
      <c r="O40" s="146">
        <v>1231</v>
      </c>
      <c r="P40" s="146">
        <v>1231</v>
      </c>
      <c r="Q40" s="146">
        <v>1231</v>
      </c>
      <c r="R40" s="146">
        <v>1231</v>
      </c>
      <c r="S40" s="146">
        <v>1231</v>
      </c>
      <c r="T40" s="146">
        <v>1231</v>
      </c>
      <c r="U40" s="146">
        <v>1230</v>
      </c>
      <c r="V40" s="146">
        <f t="shared" si="7"/>
        <v>14771</v>
      </c>
      <c r="W40" s="141">
        <f t="shared" si="3"/>
        <v>0</v>
      </c>
    </row>
    <row r="41" spans="1:23" x14ac:dyDescent="0.45">
      <c r="A41" s="42"/>
      <c r="B41" s="42"/>
      <c r="C41" s="42"/>
      <c r="D41" s="42"/>
      <c r="E41" s="42"/>
      <c r="F41" s="42" t="s">
        <v>137</v>
      </c>
      <c r="G41" s="42"/>
      <c r="H41" s="146">
        <v>7800</v>
      </c>
      <c r="I41" s="161"/>
      <c r="J41" s="146">
        <v>650</v>
      </c>
      <c r="K41" s="146">
        <v>650</v>
      </c>
      <c r="L41" s="146">
        <v>650</v>
      </c>
      <c r="M41" s="146">
        <v>650</v>
      </c>
      <c r="N41" s="146">
        <v>650</v>
      </c>
      <c r="O41" s="146">
        <v>650</v>
      </c>
      <c r="P41" s="146">
        <v>650</v>
      </c>
      <c r="Q41" s="146">
        <v>650</v>
      </c>
      <c r="R41" s="146">
        <v>650</v>
      </c>
      <c r="S41" s="146">
        <v>650</v>
      </c>
      <c r="T41" s="146">
        <v>650</v>
      </c>
      <c r="U41" s="146">
        <v>650</v>
      </c>
      <c r="V41" s="146">
        <f t="shared" si="7"/>
        <v>7800</v>
      </c>
      <c r="W41" s="141">
        <f t="shared" si="3"/>
        <v>0</v>
      </c>
    </row>
    <row r="42" spans="1:23" x14ac:dyDescent="0.45">
      <c r="A42" s="42"/>
      <c r="B42" s="42"/>
      <c r="C42" s="42"/>
      <c r="D42" s="42"/>
      <c r="E42" s="42"/>
      <c r="F42" s="42" t="s">
        <v>136</v>
      </c>
      <c r="G42" s="42"/>
      <c r="H42" s="146">
        <v>4590</v>
      </c>
      <c r="I42" s="161"/>
      <c r="J42" s="146">
        <v>383</v>
      </c>
      <c r="K42" s="146">
        <v>383</v>
      </c>
      <c r="L42" s="146">
        <v>383</v>
      </c>
      <c r="M42" s="146">
        <v>383</v>
      </c>
      <c r="N42" s="146">
        <v>383</v>
      </c>
      <c r="O42" s="146">
        <v>383</v>
      </c>
      <c r="P42" s="146">
        <v>382</v>
      </c>
      <c r="Q42" s="146">
        <v>382</v>
      </c>
      <c r="R42" s="146">
        <v>382</v>
      </c>
      <c r="S42" s="146">
        <v>382</v>
      </c>
      <c r="T42" s="146">
        <v>382</v>
      </c>
      <c r="U42" s="146">
        <v>382</v>
      </c>
      <c r="V42" s="146">
        <f t="shared" si="7"/>
        <v>4590</v>
      </c>
      <c r="W42" s="141">
        <f t="shared" si="3"/>
        <v>0</v>
      </c>
    </row>
    <row r="43" spans="1:23" ht="14.65" thickBot="1" x14ac:dyDescent="0.5">
      <c r="A43" s="42"/>
      <c r="B43" s="42"/>
      <c r="C43" s="42"/>
      <c r="D43" s="42"/>
      <c r="E43" s="42"/>
      <c r="F43" s="42" t="s">
        <v>135</v>
      </c>
      <c r="G43" s="42"/>
      <c r="H43" s="146">
        <v>5125</v>
      </c>
      <c r="I43" s="161"/>
      <c r="J43" s="146">
        <v>427</v>
      </c>
      <c r="K43" s="146">
        <v>427</v>
      </c>
      <c r="L43" s="146">
        <v>427</v>
      </c>
      <c r="M43" s="146">
        <v>427</v>
      </c>
      <c r="N43" s="146">
        <v>427</v>
      </c>
      <c r="O43" s="146">
        <v>427</v>
      </c>
      <c r="P43" s="146">
        <v>427</v>
      </c>
      <c r="Q43" s="146">
        <v>427</v>
      </c>
      <c r="R43" s="146">
        <v>427</v>
      </c>
      <c r="S43" s="146">
        <v>427</v>
      </c>
      <c r="T43" s="146">
        <v>427</v>
      </c>
      <c r="U43" s="146">
        <v>428</v>
      </c>
      <c r="V43" s="146">
        <f t="shared" si="7"/>
        <v>5125</v>
      </c>
      <c r="W43" s="141">
        <f t="shared" si="3"/>
        <v>0</v>
      </c>
    </row>
    <row r="44" spans="1:23" x14ac:dyDescent="0.45">
      <c r="A44" s="42"/>
      <c r="B44" s="42"/>
      <c r="C44" s="42"/>
      <c r="D44" s="42"/>
      <c r="E44" s="42" t="s">
        <v>134</v>
      </c>
      <c r="F44" s="42"/>
      <c r="G44" s="42"/>
      <c r="H44" s="151">
        <f>SUM(H32:H43)</f>
        <v>313398</v>
      </c>
      <c r="I44" s="161"/>
      <c r="J44" s="151">
        <f t="shared" ref="J44:V44" si="21">SUM(J32:J43)</f>
        <v>26117</v>
      </c>
      <c r="K44" s="151">
        <f t="shared" si="21"/>
        <v>26117</v>
      </c>
      <c r="L44" s="151">
        <f t="shared" si="21"/>
        <v>26117</v>
      </c>
      <c r="M44" s="151">
        <f t="shared" si="21"/>
        <v>26117</v>
      </c>
      <c r="N44" s="151">
        <f t="shared" si="21"/>
        <v>26117</v>
      </c>
      <c r="O44" s="151">
        <f t="shared" si="21"/>
        <v>26117</v>
      </c>
      <c r="P44" s="151">
        <f t="shared" si="21"/>
        <v>26116</v>
      </c>
      <c r="Q44" s="151">
        <f t="shared" si="21"/>
        <v>26116</v>
      </c>
      <c r="R44" s="151">
        <f t="shared" si="21"/>
        <v>26116</v>
      </c>
      <c r="S44" s="151">
        <f t="shared" si="21"/>
        <v>26116</v>
      </c>
      <c r="T44" s="151">
        <f t="shared" si="21"/>
        <v>26116</v>
      </c>
      <c r="U44" s="151">
        <f t="shared" si="21"/>
        <v>26116</v>
      </c>
      <c r="V44" s="151">
        <f t="shared" si="21"/>
        <v>313398</v>
      </c>
      <c r="W44" s="141">
        <f t="shared" si="3"/>
        <v>0</v>
      </c>
    </row>
    <row r="45" spans="1:23" x14ac:dyDescent="0.45">
      <c r="A45" s="42"/>
      <c r="B45" s="42"/>
      <c r="C45" s="42"/>
      <c r="D45" s="42"/>
      <c r="E45" s="42" t="s">
        <v>133</v>
      </c>
      <c r="F45" s="42"/>
      <c r="G45" s="42"/>
      <c r="H45" s="146"/>
      <c r="I45" s="161"/>
      <c r="J45" s="146">
        <v>0</v>
      </c>
      <c r="K45" s="146">
        <v>0</v>
      </c>
      <c r="L45" s="146">
        <v>0</v>
      </c>
      <c r="M45" s="146">
        <v>0</v>
      </c>
      <c r="N45" s="146">
        <v>0</v>
      </c>
      <c r="O45" s="146">
        <v>0</v>
      </c>
      <c r="P45" s="146">
        <v>0</v>
      </c>
      <c r="Q45" s="146">
        <v>0</v>
      </c>
      <c r="R45" s="146">
        <v>0</v>
      </c>
      <c r="S45" s="146">
        <v>0</v>
      </c>
      <c r="T45" s="146">
        <v>0</v>
      </c>
      <c r="U45" s="146">
        <v>0</v>
      </c>
      <c r="V45" s="146">
        <f t="shared" si="7"/>
        <v>0</v>
      </c>
      <c r="W45" s="141">
        <f t="shared" si="3"/>
        <v>0</v>
      </c>
    </row>
    <row r="46" spans="1:23" x14ac:dyDescent="0.45">
      <c r="A46" s="42"/>
      <c r="B46" s="42"/>
      <c r="C46" s="42"/>
      <c r="D46" s="42"/>
      <c r="E46" s="42"/>
      <c r="F46" s="42" t="s">
        <v>132</v>
      </c>
      <c r="G46" s="42"/>
      <c r="H46" s="146">
        <v>9600</v>
      </c>
      <c r="I46" s="161"/>
      <c r="J46" s="146">
        <v>800</v>
      </c>
      <c r="K46" s="146">
        <v>800</v>
      </c>
      <c r="L46" s="146">
        <v>800</v>
      </c>
      <c r="M46" s="146">
        <v>800</v>
      </c>
      <c r="N46" s="146">
        <v>800</v>
      </c>
      <c r="O46" s="146">
        <v>800</v>
      </c>
      <c r="P46" s="146">
        <v>800</v>
      </c>
      <c r="Q46" s="146">
        <v>800</v>
      </c>
      <c r="R46" s="146">
        <v>800</v>
      </c>
      <c r="S46" s="146">
        <v>800</v>
      </c>
      <c r="T46" s="146">
        <v>800</v>
      </c>
      <c r="U46" s="146">
        <v>800</v>
      </c>
      <c r="V46" s="146">
        <f t="shared" si="7"/>
        <v>9600</v>
      </c>
      <c r="W46" s="141">
        <f t="shared" si="3"/>
        <v>0</v>
      </c>
    </row>
    <row r="47" spans="1:23" x14ac:dyDescent="0.45">
      <c r="A47" s="42"/>
      <c r="B47" s="42"/>
      <c r="C47" s="42"/>
      <c r="D47" s="42"/>
      <c r="E47" s="42"/>
      <c r="F47" s="42" t="s">
        <v>131</v>
      </c>
      <c r="G47" s="42"/>
      <c r="H47" s="146">
        <v>4770</v>
      </c>
      <c r="I47" s="161"/>
      <c r="J47" s="146">
        <v>398</v>
      </c>
      <c r="K47" s="146">
        <v>398</v>
      </c>
      <c r="L47" s="146">
        <v>398</v>
      </c>
      <c r="M47" s="146">
        <v>398</v>
      </c>
      <c r="N47" s="146">
        <v>398</v>
      </c>
      <c r="O47" s="146">
        <v>398</v>
      </c>
      <c r="P47" s="146">
        <v>397</v>
      </c>
      <c r="Q47" s="146">
        <v>397</v>
      </c>
      <c r="R47" s="146">
        <v>397</v>
      </c>
      <c r="S47" s="146">
        <v>397</v>
      </c>
      <c r="T47" s="146">
        <v>397</v>
      </c>
      <c r="U47" s="146">
        <v>397</v>
      </c>
      <c r="V47" s="146">
        <f t="shared" si="7"/>
        <v>4770</v>
      </c>
      <c r="W47" s="141">
        <f t="shared" si="3"/>
        <v>0</v>
      </c>
    </row>
    <row r="48" spans="1:23" x14ac:dyDescent="0.45">
      <c r="A48" s="42"/>
      <c r="B48" s="42"/>
      <c r="C48" s="42"/>
      <c r="D48" s="42"/>
      <c r="E48" s="42"/>
      <c r="F48" s="42" t="s">
        <v>130</v>
      </c>
      <c r="G48" s="42"/>
      <c r="H48" s="146">
        <v>4900</v>
      </c>
      <c r="I48" s="161"/>
      <c r="J48" s="146">
        <v>408</v>
      </c>
      <c r="K48" s="146">
        <v>408</v>
      </c>
      <c r="L48" s="146">
        <v>408</v>
      </c>
      <c r="M48" s="146">
        <v>408</v>
      </c>
      <c r="N48" s="146">
        <v>408</v>
      </c>
      <c r="O48" s="146">
        <v>408</v>
      </c>
      <c r="P48" s="146">
        <v>408</v>
      </c>
      <c r="Q48" s="146">
        <v>408</v>
      </c>
      <c r="R48" s="146">
        <v>409</v>
      </c>
      <c r="S48" s="146">
        <v>409</v>
      </c>
      <c r="T48" s="146">
        <v>409</v>
      </c>
      <c r="U48" s="146">
        <v>409</v>
      </c>
      <c r="V48" s="146">
        <f t="shared" si="7"/>
        <v>4900</v>
      </c>
      <c r="W48" s="141">
        <f t="shared" si="3"/>
        <v>0</v>
      </c>
    </row>
    <row r="49" spans="1:23" x14ac:dyDescent="0.45">
      <c r="A49" s="42"/>
      <c r="B49" s="42"/>
      <c r="C49" s="42"/>
      <c r="D49" s="42"/>
      <c r="E49" s="42"/>
      <c r="F49" s="42" t="s">
        <v>129</v>
      </c>
      <c r="G49" s="42"/>
      <c r="H49" s="146">
        <v>5850</v>
      </c>
      <c r="I49" s="161"/>
      <c r="J49" s="146">
        <v>488</v>
      </c>
      <c r="K49" s="146">
        <v>488</v>
      </c>
      <c r="L49" s="146">
        <v>488</v>
      </c>
      <c r="M49" s="146">
        <v>488</v>
      </c>
      <c r="N49" s="146">
        <v>488</v>
      </c>
      <c r="O49" s="146">
        <v>488</v>
      </c>
      <c r="P49" s="146">
        <v>487</v>
      </c>
      <c r="Q49" s="146">
        <v>487</v>
      </c>
      <c r="R49" s="146">
        <v>487</v>
      </c>
      <c r="S49" s="146">
        <v>487</v>
      </c>
      <c r="T49" s="146">
        <v>487</v>
      </c>
      <c r="U49" s="146">
        <v>487</v>
      </c>
      <c r="V49" s="146">
        <f t="shared" si="7"/>
        <v>5850</v>
      </c>
      <c r="W49" s="141">
        <f t="shared" si="3"/>
        <v>0</v>
      </c>
    </row>
    <row r="50" spans="1:23" x14ac:dyDescent="0.45">
      <c r="A50" s="42"/>
      <c r="B50" s="42"/>
      <c r="C50" s="42"/>
      <c r="D50" s="42"/>
      <c r="E50" s="42"/>
      <c r="F50" s="42" t="s">
        <v>128</v>
      </c>
      <c r="G50" s="42"/>
      <c r="H50" s="146">
        <v>1607</v>
      </c>
      <c r="I50" s="161"/>
      <c r="J50" s="146">
        <v>134</v>
      </c>
      <c r="K50" s="146">
        <v>134</v>
      </c>
      <c r="L50" s="146">
        <v>134</v>
      </c>
      <c r="M50" s="146">
        <v>134</v>
      </c>
      <c r="N50" s="146">
        <v>134</v>
      </c>
      <c r="O50" s="146">
        <v>134</v>
      </c>
      <c r="P50" s="146">
        <v>134</v>
      </c>
      <c r="Q50" s="146">
        <v>134</v>
      </c>
      <c r="R50" s="146">
        <v>134</v>
      </c>
      <c r="S50" s="146">
        <v>134</v>
      </c>
      <c r="T50" s="146">
        <v>134</v>
      </c>
      <c r="U50" s="146">
        <v>133</v>
      </c>
      <c r="V50" s="146">
        <f t="shared" si="7"/>
        <v>1607</v>
      </c>
      <c r="W50" s="141">
        <f t="shared" si="3"/>
        <v>0</v>
      </c>
    </row>
    <row r="51" spans="1:23" ht="14.65" thickBot="1" x14ac:dyDescent="0.5">
      <c r="A51" s="42"/>
      <c r="B51" s="42"/>
      <c r="C51" s="42"/>
      <c r="D51" s="42"/>
      <c r="E51" s="42"/>
      <c r="F51" s="42" t="s">
        <v>127</v>
      </c>
      <c r="G51" s="42"/>
      <c r="H51" s="146">
        <v>1477</v>
      </c>
      <c r="I51" s="161"/>
      <c r="J51" s="146">
        <v>123</v>
      </c>
      <c r="K51" s="146">
        <v>123</v>
      </c>
      <c r="L51" s="146">
        <v>123</v>
      </c>
      <c r="M51" s="146">
        <v>123</v>
      </c>
      <c r="N51" s="146">
        <v>123</v>
      </c>
      <c r="O51" s="146">
        <v>123</v>
      </c>
      <c r="P51" s="146">
        <v>123</v>
      </c>
      <c r="Q51" s="146">
        <v>123</v>
      </c>
      <c r="R51" s="146">
        <v>123</v>
      </c>
      <c r="S51" s="146">
        <v>123</v>
      </c>
      <c r="T51" s="146">
        <v>123</v>
      </c>
      <c r="U51" s="146">
        <v>124</v>
      </c>
      <c r="V51" s="146">
        <f t="shared" si="7"/>
        <v>1477</v>
      </c>
      <c r="W51" s="141">
        <f t="shared" si="3"/>
        <v>0</v>
      </c>
    </row>
    <row r="52" spans="1:23" x14ac:dyDescent="0.45">
      <c r="A52" s="42"/>
      <c r="B52" s="42"/>
      <c r="C52" s="42"/>
      <c r="D52" s="42"/>
      <c r="E52" s="42" t="s">
        <v>126</v>
      </c>
      <c r="F52" s="42"/>
      <c r="G52" s="42"/>
      <c r="H52" s="151">
        <f>SUM(H46:H51)</f>
        <v>28204</v>
      </c>
      <c r="I52" s="161"/>
      <c r="J52" s="151">
        <f t="shared" ref="J52:V52" si="22">SUM(J46:J51)</f>
        <v>2351</v>
      </c>
      <c r="K52" s="151">
        <f t="shared" si="22"/>
        <v>2351</v>
      </c>
      <c r="L52" s="151">
        <f t="shared" si="22"/>
        <v>2351</v>
      </c>
      <c r="M52" s="151">
        <f t="shared" si="22"/>
        <v>2351</v>
      </c>
      <c r="N52" s="151">
        <f t="shared" si="22"/>
        <v>2351</v>
      </c>
      <c r="O52" s="151">
        <f t="shared" si="22"/>
        <v>2351</v>
      </c>
      <c r="P52" s="151">
        <f t="shared" si="22"/>
        <v>2349</v>
      </c>
      <c r="Q52" s="151">
        <f t="shared" si="22"/>
        <v>2349</v>
      </c>
      <c r="R52" s="151">
        <f t="shared" si="22"/>
        <v>2350</v>
      </c>
      <c r="S52" s="151">
        <f t="shared" si="22"/>
        <v>2350</v>
      </c>
      <c r="T52" s="151">
        <f t="shared" si="22"/>
        <v>2350</v>
      </c>
      <c r="U52" s="151">
        <f t="shared" si="22"/>
        <v>2350</v>
      </c>
      <c r="V52" s="151">
        <f t="shared" si="22"/>
        <v>28204</v>
      </c>
      <c r="W52" s="141">
        <f t="shared" si="3"/>
        <v>0</v>
      </c>
    </row>
    <row r="53" spans="1:23" x14ac:dyDescent="0.45">
      <c r="A53" s="42"/>
      <c r="B53" s="42"/>
      <c r="C53" s="42"/>
      <c r="D53" s="42"/>
      <c r="E53" s="42" t="s">
        <v>125</v>
      </c>
      <c r="F53" s="42"/>
      <c r="G53" s="42"/>
      <c r="H53" s="146"/>
      <c r="I53" s="161"/>
      <c r="J53" s="146">
        <v>0</v>
      </c>
      <c r="K53" s="146">
        <v>0</v>
      </c>
      <c r="L53" s="146">
        <v>0</v>
      </c>
      <c r="M53" s="146">
        <v>0</v>
      </c>
      <c r="N53" s="146">
        <v>0</v>
      </c>
      <c r="O53" s="146">
        <v>0</v>
      </c>
      <c r="P53" s="146">
        <v>0</v>
      </c>
      <c r="Q53" s="146">
        <v>0</v>
      </c>
      <c r="R53" s="146">
        <v>0</v>
      </c>
      <c r="S53" s="146">
        <v>0</v>
      </c>
      <c r="T53" s="146">
        <v>0</v>
      </c>
      <c r="U53" s="146">
        <v>0</v>
      </c>
      <c r="V53" s="146">
        <f t="shared" si="7"/>
        <v>0</v>
      </c>
      <c r="W53" s="141">
        <f t="shared" si="3"/>
        <v>0</v>
      </c>
    </row>
    <row r="54" spans="1:23" x14ac:dyDescent="0.45">
      <c r="A54" s="42"/>
      <c r="B54" s="42"/>
      <c r="C54" s="42"/>
      <c r="D54" s="42"/>
      <c r="E54" s="42"/>
      <c r="F54" s="42" t="s">
        <v>124</v>
      </c>
      <c r="G54" s="42"/>
      <c r="H54" s="146">
        <v>0</v>
      </c>
      <c r="I54" s="161"/>
      <c r="J54" s="146">
        <v>0</v>
      </c>
      <c r="K54" s="146">
        <v>0</v>
      </c>
      <c r="L54" s="146">
        <v>0</v>
      </c>
      <c r="M54" s="146">
        <v>0</v>
      </c>
      <c r="N54" s="146">
        <v>0</v>
      </c>
      <c r="O54" s="146">
        <v>0</v>
      </c>
      <c r="P54" s="146">
        <v>0</v>
      </c>
      <c r="Q54" s="146">
        <v>0</v>
      </c>
      <c r="R54" s="146">
        <v>0</v>
      </c>
      <c r="S54" s="146">
        <v>0</v>
      </c>
      <c r="T54" s="146">
        <v>0</v>
      </c>
      <c r="U54" s="146">
        <v>0</v>
      </c>
      <c r="V54" s="146">
        <f t="shared" si="7"/>
        <v>0</v>
      </c>
      <c r="W54" s="141">
        <f t="shared" si="3"/>
        <v>0</v>
      </c>
    </row>
    <row r="55" spans="1:23" x14ac:dyDescent="0.45">
      <c r="A55" s="42"/>
      <c r="B55" s="42"/>
      <c r="C55" s="42"/>
      <c r="D55" s="42"/>
      <c r="E55" s="42"/>
      <c r="F55" s="42" t="s">
        <v>123</v>
      </c>
      <c r="G55" s="42"/>
      <c r="H55" s="146">
        <v>0</v>
      </c>
      <c r="I55" s="161"/>
      <c r="J55" s="146">
        <v>0</v>
      </c>
      <c r="K55" s="146">
        <v>0</v>
      </c>
      <c r="L55" s="146">
        <v>0</v>
      </c>
      <c r="M55" s="146">
        <v>0</v>
      </c>
      <c r="N55" s="146">
        <v>0</v>
      </c>
      <c r="O55" s="146">
        <v>0</v>
      </c>
      <c r="P55" s="146">
        <v>0</v>
      </c>
      <c r="Q55" s="146">
        <v>0</v>
      </c>
      <c r="R55" s="146">
        <v>0</v>
      </c>
      <c r="S55" s="146">
        <v>0</v>
      </c>
      <c r="T55" s="146">
        <v>0</v>
      </c>
      <c r="U55" s="146">
        <v>0</v>
      </c>
      <c r="V55" s="146">
        <f t="shared" si="7"/>
        <v>0</v>
      </c>
      <c r="W55" s="141">
        <f t="shared" si="3"/>
        <v>0</v>
      </c>
    </row>
    <row r="56" spans="1:23" ht="14.65" thickBot="1" x14ac:dyDescent="0.5">
      <c r="A56" s="42"/>
      <c r="B56" s="42"/>
      <c r="C56" s="42"/>
      <c r="D56" s="42"/>
      <c r="F56" s="42" t="s">
        <v>122</v>
      </c>
      <c r="G56" s="42"/>
      <c r="H56" s="146">
        <f>(12242*0.1)+12242</f>
        <v>13466.2</v>
      </c>
      <c r="I56" s="161"/>
      <c r="J56" s="146">
        <v>1122</v>
      </c>
      <c r="K56" s="146">
        <v>1122</v>
      </c>
      <c r="L56" s="146">
        <v>1122</v>
      </c>
      <c r="M56" s="146">
        <v>1122</v>
      </c>
      <c r="N56" s="146">
        <v>1122</v>
      </c>
      <c r="O56" s="146">
        <v>1122</v>
      </c>
      <c r="P56" s="146">
        <v>1122</v>
      </c>
      <c r="Q56" s="146">
        <v>1122</v>
      </c>
      <c r="R56" s="146">
        <v>1122</v>
      </c>
      <c r="S56" s="146">
        <v>1122</v>
      </c>
      <c r="T56" s="146">
        <v>1123</v>
      </c>
      <c r="U56" s="146">
        <v>1123</v>
      </c>
      <c r="V56" s="146">
        <f t="shared" si="7"/>
        <v>13466</v>
      </c>
      <c r="W56" s="141">
        <f t="shared" si="3"/>
        <v>0</v>
      </c>
    </row>
    <row r="57" spans="1:23" x14ac:dyDescent="0.45">
      <c r="A57" s="42"/>
      <c r="B57" s="42"/>
      <c r="C57" s="42"/>
      <c r="D57" s="42"/>
      <c r="E57" s="42" t="s">
        <v>120</v>
      </c>
      <c r="F57" s="42"/>
      <c r="G57" s="42"/>
      <c r="H57" s="151">
        <f>SUM(H54:H56)</f>
        <v>13466.2</v>
      </c>
      <c r="I57" s="161"/>
      <c r="J57" s="151">
        <f t="shared" ref="J57:V57" si="23">SUM(J54:J56)</f>
        <v>1122</v>
      </c>
      <c r="K57" s="151">
        <f t="shared" si="23"/>
        <v>1122</v>
      </c>
      <c r="L57" s="151">
        <f t="shared" si="23"/>
        <v>1122</v>
      </c>
      <c r="M57" s="151">
        <f t="shared" si="23"/>
        <v>1122</v>
      </c>
      <c r="N57" s="151">
        <f t="shared" si="23"/>
        <v>1122</v>
      </c>
      <c r="O57" s="151">
        <f t="shared" si="23"/>
        <v>1122</v>
      </c>
      <c r="P57" s="151">
        <f t="shared" si="23"/>
        <v>1122</v>
      </c>
      <c r="Q57" s="151">
        <f t="shared" si="23"/>
        <v>1122</v>
      </c>
      <c r="R57" s="151">
        <f t="shared" si="23"/>
        <v>1122</v>
      </c>
      <c r="S57" s="151">
        <f t="shared" si="23"/>
        <v>1122</v>
      </c>
      <c r="T57" s="151">
        <f t="shared" si="23"/>
        <v>1123</v>
      </c>
      <c r="U57" s="151">
        <f t="shared" si="23"/>
        <v>1123</v>
      </c>
      <c r="V57" s="151">
        <f t="shared" si="23"/>
        <v>13466</v>
      </c>
      <c r="W57" s="141">
        <f t="shared" si="3"/>
        <v>0</v>
      </c>
    </row>
    <row r="58" spans="1:23" x14ac:dyDescent="0.45">
      <c r="A58" s="42"/>
      <c r="B58" s="42"/>
      <c r="C58" s="42"/>
      <c r="D58" s="42"/>
      <c r="E58" s="42" t="s">
        <v>119</v>
      </c>
      <c r="F58" s="42"/>
      <c r="G58" s="42"/>
      <c r="H58" s="146"/>
      <c r="I58" s="161"/>
      <c r="J58" s="146">
        <v>0</v>
      </c>
      <c r="K58" s="146">
        <v>0</v>
      </c>
      <c r="L58" s="146">
        <v>0</v>
      </c>
      <c r="M58" s="146">
        <v>0</v>
      </c>
      <c r="N58" s="146">
        <v>0</v>
      </c>
      <c r="O58" s="146">
        <v>0</v>
      </c>
      <c r="P58" s="146">
        <v>0</v>
      </c>
      <c r="Q58" s="146">
        <v>0</v>
      </c>
      <c r="R58" s="146">
        <v>0</v>
      </c>
      <c r="S58" s="146">
        <v>0</v>
      </c>
      <c r="T58" s="146">
        <v>0</v>
      </c>
      <c r="U58" s="146">
        <v>0</v>
      </c>
      <c r="V58" s="146">
        <f t="shared" si="7"/>
        <v>0</v>
      </c>
      <c r="W58" s="141">
        <f t="shared" si="3"/>
        <v>0</v>
      </c>
    </row>
    <row r="59" spans="1:23" x14ac:dyDescent="0.45">
      <c r="A59" s="42"/>
      <c r="B59" s="42"/>
      <c r="C59" s="42"/>
      <c r="D59" s="42"/>
      <c r="E59" s="42"/>
      <c r="F59" s="42" t="s">
        <v>118</v>
      </c>
      <c r="G59" s="42"/>
      <c r="H59" s="146">
        <v>9600</v>
      </c>
      <c r="I59" s="161"/>
      <c r="J59" s="146">
        <v>800</v>
      </c>
      <c r="K59" s="146">
        <v>800</v>
      </c>
      <c r="L59" s="146">
        <v>800</v>
      </c>
      <c r="M59" s="146">
        <v>800</v>
      </c>
      <c r="N59" s="146">
        <v>800</v>
      </c>
      <c r="O59" s="146">
        <v>800</v>
      </c>
      <c r="P59" s="146">
        <v>800</v>
      </c>
      <c r="Q59" s="146">
        <v>800</v>
      </c>
      <c r="R59" s="146">
        <v>800</v>
      </c>
      <c r="S59" s="146">
        <v>800</v>
      </c>
      <c r="T59" s="146">
        <v>800</v>
      </c>
      <c r="U59" s="146">
        <v>800</v>
      </c>
      <c r="V59" s="146">
        <f t="shared" si="7"/>
        <v>9600</v>
      </c>
      <c r="W59" s="141">
        <f t="shared" si="3"/>
        <v>0</v>
      </c>
    </row>
    <row r="60" spans="1:23" x14ac:dyDescent="0.45">
      <c r="A60" s="42"/>
      <c r="B60" s="42"/>
      <c r="C60" s="42"/>
      <c r="D60" s="42"/>
      <c r="E60" s="42"/>
      <c r="F60" s="42" t="s">
        <v>117</v>
      </c>
      <c r="G60" s="42"/>
      <c r="H60" s="146">
        <v>2500</v>
      </c>
      <c r="I60" s="161"/>
      <c r="J60" s="146">
        <v>208</v>
      </c>
      <c r="K60" s="146">
        <v>208</v>
      </c>
      <c r="L60" s="146">
        <v>208</v>
      </c>
      <c r="M60" s="146">
        <v>208</v>
      </c>
      <c r="N60" s="146">
        <v>208</v>
      </c>
      <c r="O60" s="146">
        <v>208</v>
      </c>
      <c r="P60" s="146">
        <v>208</v>
      </c>
      <c r="Q60" s="146">
        <v>208</v>
      </c>
      <c r="R60" s="146">
        <v>209</v>
      </c>
      <c r="S60" s="146">
        <v>209</v>
      </c>
      <c r="T60" s="146">
        <v>209</v>
      </c>
      <c r="U60" s="146">
        <v>209</v>
      </c>
      <c r="V60" s="146">
        <f t="shared" si="7"/>
        <v>2500</v>
      </c>
      <c r="W60" s="141">
        <f t="shared" si="3"/>
        <v>0</v>
      </c>
    </row>
    <row r="61" spans="1:23" x14ac:dyDescent="0.45">
      <c r="A61" s="42"/>
      <c r="B61" s="42"/>
      <c r="C61" s="42"/>
      <c r="D61" s="42"/>
      <c r="E61" s="42"/>
      <c r="F61" s="42" t="s">
        <v>116</v>
      </c>
      <c r="G61" s="42"/>
      <c r="H61" s="146">
        <v>2000</v>
      </c>
      <c r="I61" s="161"/>
      <c r="J61" s="146">
        <v>167</v>
      </c>
      <c r="K61" s="146">
        <v>167</v>
      </c>
      <c r="L61" s="146">
        <v>167</v>
      </c>
      <c r="M61" s="146">
        <v>167</v>
      </c>
      <c r="N61" s="146">
        <v>167</v>
      </c>
      <c r="O61" s="146">
        <v>167</v>
      </c>
      <c r="P61" s="146">
        <v>167</v>
      </c>
      <c r="Q61" s="146">
        <v>167</v>
      </c>
      <c r="R61" s="146">
        <v>166</v>
      </c>
      <c r="S61" s="146">
        <v>166</v>
      </c>
      <c r="T61" s="146">
        <v>166</v>
      </c>
      <c r="U61" s="146">
        <v>166</v>
      </c>
      <c r="V61" s="146">
        <f t="shared" si="7"/>
        <v>2000</v>
      </c>
      <c r="W61" s="141">
        <f t="shared" si="3"/>
        <v>0</v>
      </c>
    </row>
    <row r="62" spans="1:23" ht="14.65" thickBot="1" x14ac:dyDescent="0.5">
      <c r="A62" s="42"/>
      <c r="B62" s="42"/>
      <c r="C62" s="42"/>
      <c r="D62" s="42"/>
      <c r="E62" s="42"/>
      <c r="F62" s="42" t="s">
        <v>115</v>
      </c>
      <c r="G62" s="42"/>
      <c r="H62" s="146">
        <v>3000</v>
      </c>
      <c r="I62" s="161"/>
      <c r="J62" s="146">
        <v>250</v>
      </c>
      <c r="K62" s="146">
        <v>250</v>
      </c>
      <c r="L62" s="146">
        <v>250</v>
      </c>
      <c r="M62" s="146">
        <v>250</v>
      </c>
      <c r="N62" s="146">
        <v>250</v>
      </c>
      <c r="O62" s="146">
        <v>250</v>
      </c>
      <c r="P62" s="146">
        <v>250</v>
      </c>
      <c r="Q62" s="146">
        <v>250</v>
      </c>
      <c r="R62" s="146">
        <v>250</v>
      </c>
      <c r="S62" s="146">
        <v>250</v>
      </c>
      <c r="T62" s="146">
        <v>250</v>
      </c>
      <c r="U62" s="146">
        <v>250</v>
      </c>
      <c r="V62" s="146">
        <f t="shared" si="7"/>
        <v>3000</v>
      </c>
      <c r="W62" s="141">
        <f t="shared" si="3"/>
        <v>0</v>
      </c>
    </row>
    <row r="63" spans="1:23" x14ac:dyDescent="0.45">
      <c r="A63" s="42"/>
      <c r="B63" s="42"/>
      <c r="C63" s="42"/>
      <c r="D63" s="42"/>
      <c r="E63" s="42" t="s">
        <v>114</v>
      </c>
      <c r="F63" s="42"/>
      <c r="G63" s="42"/>
      <c r="H63" s="151">
        <f>SUM(H59:H62)</f>
        <v>17100</v>
      </c>
      <c r="I63" s="161"/>
      <c r="J63" s="151">
        <f t="shared" ref="J63:V63" si="24">SUM(J59:J62)</f>
        <v>1425</v>
      </c>
      <c r="K63" s="151">
        <f t="shared" si="24"/>
        <v>1425</v>
      </c>
      <c r="L63" s="151">
        <f t="shared" si="24"/>
        <v>1425</v>
      </c>
      <c r="M63" s="151">
        <f t="shared" si="24"/>
        <v>1425</v>
      </c>
      <c r="N63" s="151">
        <f t="shared" si="24"/>
        <v>1425</v>
      </c>
      <c r="O63" s="151">
        <f t="shared" si="24"/>
        <v>1425</v>
      </c>
      <c r="P63" s="151">
        <f t="shared" si="24"/>
        <v>1425</v>
      </c>
      <c r="Q63" s="151">
        <f t="shared" si="24"/>
        <v>1425</v>
      </c>
      <c r="R63" s="151">
        <f t="shared" si="24"/>
        <v>1425</v>
      </c>
      <c r="S63" s="151">
        <f t="shared" si="24"/>
        <v>1425</v>
      </c>
      <c r="T63" s="151">
        <f t="shared" si="24"/>
        <v>1425</v>
      </c>
      <c r="U63" s="151">
        <f t="shared" si="24"/>
        <v>1425</v>
      </c>
      <c r="V63" s="151">
        <f t="shared" si="24"/>
        <v>17100</v>
      </c>
      <c r="W63" s="141">
        <f t="shared" si="3"/>
        <v>0</v>
      </c>
    </row>
    <row r="64" spans="1:23" x14ac:dyDescent="0.45">
      <c r="A64" s="42"/>
      <c r="B64" s="42"/>
      <c r="C64" s="42"/>
      <c r="D64" s="42"/>
      <c r="E64" s="42" t="s">
        <v>113</v>
      </c>
      <c r="F64" s="42"/>
      <c r="G64" s="42"/>
      <c r="H64" s="146">
        <v>16000</v>
      </c>
      <c r="I64" s="161"/>
      <c r="J64" s="146">
        <v>1333</v>
      </c>
      <c r="K64" s="146">
        <v>1333</v>
      </c>
      <c r="L64" s="146">
        <v>1333</v>
      </c>
      <c r="M64" s="146">
        <v>1333</v>
      </c>
      <c r="N64" s="146">
        <v>1333</v>
      </c>
      <c r="O64" s="146">
        <v>1333</v>
      </c>
      <c r="P64" s="146">
        <v>1333</v>
      </c>
      <c r="Q64" s="146">
        <v>1333</v>
      </c>
      <c r="R64" s="146">
        <v>1334</v>
      </c>
      <c r="S64" s="146">
        <v>1334</v>
      </c>
      <c r="T64" s="146">
        <v>1334</v>
      </c>
      <c r="U64" s="146">
        <v>1334</v>
      </c>
      <c r="V64" s="146">
        <f t="shared" si="7"/>
        <v>16000</v>
      </c>
      <c r="W64" s="141">
        <f t="shared" si="3"/>
        <v>0</v>
      </c>
    </row>
    <row r="65" spans="1:25" x14ac:dyDescent="0.45">
      <c r="A65" s="42"/>
      <c r="B65" s="42"/>
      <c r="C65" s="42"/>
      <c r="D65" s="42"/>
      <c r="E65" s="42" t="s">
        <v>112</v>
      </c>
      <c r="F65" s="42"/>
      <c r="G65" s="42"/>
      <c r="H65" s="146">
        <v>452</v>
      </c>
      <c r="I65" s="161"/>
      <c r="J65" s="146">
        <v>38</v>
      </c>
      <c r="K65" s="146">
        <v>38</v>
      </c>
      <c r="L65" s="146">
        <v>38</v>
      </c>
      <c r="M65" s="146">
        <v>38</v>
      </c>
      <c r="N65" s="146">
        <v>38</v>
      </c>
      <c r="O65" s="146">
        <v>38</v>
      </c>
      <c r="P65" s="146">
        <v>38</v>
      </c>
      <c r="Q65" s="146">
        <v>38</v>
      </c>
      <c r="R65" s="146">
        <v>37</v>
      </c>
      <c r="S65" s="146">
        <v>37</v>
      </c>
      <c r="T65" s="146">
        <v>37</v>
      </c>
      <c r="U65" s="146">
        <v>37</v>
      </c>
      <c r="V65" s="146">
        <f t="shared" si="7"/>
        <v>452</v>
      </c>
      <c r="W65" s="141">
        <f t="shared" si="3"/>
        <v>0</v>
      </c>
    </row>
    <row r="66" spans="1:25" x14ac:dyDescent="0.45">
      <c r="A66" s="42"/>
      <c r="B66" s="42"/>
      <c r="C66" s="42"/>
      <c r="D66" s="42"/>
      <c r="E66" s="42" t="s">
        <v>111</v>
      </c>
      <c r="F66" s="42"/>
      <c r="G66" s="42"/>
      <c r="H66" s="146">
        <v>0</v>
      </c>
      <c r="I66" s="161"/>
      <c r="J66" s="146">
        <v>0</v>
      </c>
      <c r="K66" s="146">
        <v>0</v>
      </c>
      <c r="L66" s="146">
        <v>0</v>
      </c>
      <c r="M66" s="146">
        <v>0</v>
      </c>
      <c r="N66" s="146">
        <v>0</v>
      </c>
      <c r="O66" s="146">
        <v>0</v>
      </c>
      <c r="P66" s="146">
        <v>0</v>
      </c>
      <c r="Q66" s="146">
        <v>0</v>
      </c>
      <c r="R66" s="146">
        <v>0</v>
      </c>
      <c r="S66" s="146">
        <v>0</v>
      </c>
      <c r="T66" s="146">
        <v>0</v>
      </c>
      <c r="U66" s="146">
        <v>0</v>
      </c>
      <c r="V66" s="146">
        <f t="shared" si="7"/>
        <v>0</v>
      </c>
      <c r="W66" s="141">
        <f t="shared" si="3"/>
        <v>0</v>
      </c>
    </row>
    <row r="67" spans="1:25" x14ac:dyDescent="0.45">
      <c r="A67" s="42"/>
      <c r="B67" s="42"/>
      <c r="C67" s="42"/>
      <c r="D67" s="42"/>
      <c r="E67" s="42" t="s">
        <v>110</v>
      </c>
      <c r="F67" s="42"/>
      <c r="G67" s="42"/>
      <c r="H67" s="146">
        <v>19762</v>
      </c>
      <c r="I67" s="161"/>
      <c r="J67" s="146">
        <v>19762</v>
      </c>
      <c r="K67" s="146">
        <v>0</v>
      </c>
      <c r="L67" s="146">
        <v>0</v>
      </c>
      <c r="M67" s="146">
        <v>0</v>
      </c>
      <c r="N67" s="146">
        <v>0</v>
      </c>
      <c r="O67" s="146">
        <v>0</v>
      </c>
      <c r="P67" s="146">
        <v>0</v>
      </c>
      <c r="Q67" s="146">
        <v>0</v>
      </c>
      <c r="R67" s="146">
        <v>0</v>
      </c>
      <c r="S67" s="146">
        <v>0</v>
      </c>
      <c r="T67" s="146">
        <v>0</v>
      </c>
      <c r="U67" s="146">
        <v>0</v>
      </c>
      <c r="V67" s="146">
        <f t="shared" si="7"/>
        <v>19762</v>
      </c>
      <c r="W67" s="141">
        <f t="shared" si="3"/>
        <v>0</v>
      </c>
    </row>
    <row r="68" spans="1:25" ht="14.65" thickBot="1" x14ac:dyDescent="0.5">
      <c r="A68" s="42"/>
      <c r="B68" s="42"/>
      <c r="C68" s="42"/>
      <c r="D68" s="42"/>
      <c r="E68" s="42" t="s">
        <v>109</v>
      </c>
      <c r="F68" s="42"/>
      <c r="G68" s="42"/>
      <c r="H68" s="146">
        <v>3052</v>
      </c>
      <c r="I68" s="161"/>
      <c r="J68" s="146">
        <v>254</v>
      </c>
      <c r="K68" s="146">
        <v>254</v>
      </c>
      <c r="L68" s="146">
        <v>254</v>
      </c>
      <c r="M68" s="146">
        <v>254</v>
      </c>
      <c r="N68" s="146">
        <v>254</v>
      </c>
      <c r="O68" s="146">
        <v>254</v>
      </c>
      <c r="P68" s="146">
        <v>254</v>
      </c>
      <c r="Q68" s="146">
        <v>254</v>
      </c>
      <c r="R68" s="146">
        <v>255</v>
      </c>
      <c r="S68" s="146">
        <v>255</v>
      </c>
      <c r="T68" s="146">
        <v>255</v>
      </c>
      <c r="U68" s="146">
        <v>255</v>
      </c>
      <c r="V68" s="146">
        <f t="shared" si="7"/>
        <v>3052</v>
      </c>
      <c r="W68" s="141">
        <f t="shared" si="3"/>
        <v>0</v>
      </c>
    </row>
    <row r="69" spans="1:25" s="43" customFormat="1" x14ac:dyDescent="0.45">
      <c r="A69" s="42"/>
      <c r="B69" s="42"/>
      <c r="C69" s="42"/>
      <c r="D69" s="42" t="s">
        <v>108</v>
      </c>
      <c r="E69" s="42"/>
      <c r="F69" s="42"/>
      <c r="G69" s="42"/>
      <c r="H69" s="147">
        <f>H44+H52+H57+H63+H64+H65+H68+H66+H67</f>
        <v>411434.2</v>
      </c>
      <c r="I69" s="161"/>
      <c r="J69" s="147">
        <f t="shared" ref="J69:V69" si="25">J44+J52+J57+J63+J64+J65+J68+J66+J67</f>
        <v>52402</v>
      </c>
      <c r="K69" s="147">
        <f t="shared" si="25"/>
        <v>32640</v>
      </c>
      <c r="L69" s="147">
        <f t="shared" si="25"/>
        <v>32640</v>
      </c>
      <c r="M69" s="147">
        <f t="shared" si="25"/>
        <v>32640</v>
      </c>
      <c r="N69" s="147">
        <f t="shared" si="25"/>
        <v>32640</v>
      </c>
      <c r="O69" s="147">
        <f t="shared" si="25"/>
        <v>32640</v>
      </c>
      <c r="P69" s="147">
        <f t="shared" si="25"/>
        <v>32637</v>
      </c>
      <c r="Q69" s="147">
        <f t="shared" si="25"/>
        <v>32637</v>
      </c>
      <c r="R69" s="147">
        <f t="shared" si="25"/>
        <v>32639</v>
      </c>
      <c r="S69" s="147">
        <f t="shared" si="25"/>
        <v>32639</v>
      </c>
      <c r="T69" s="147">
        <f t="shared" si="25"/>
        <v>32640</v>
      </c>
      <c r="U69" s="147">
        <f t="shared" si="25"/>
        <v>32640</v>
      </c>
      <c r="V69" s="147">
        <f t="shared" si="25"/>
        <v>411434</v>
      </c>
      <c r="W69" s="141">
        <f t="shared" si="3"/>
        <v>0</v>
      </c>
      <c r="X69" s="148"/>
      <c r="Y69" s="140"/>
    </row>
    <row r="70" spans="1:25" x14ac:dyDescent="0.45">
      <c r="A70" s="42"/>
      <c r="B70" s="42"/>
      <c r="C70" s="42"/>
      <c r="D70" s="42" t="s">
        <v>107</v>
      </c>
      <c r="E70" s="42"/>
      <c r="F70" s="42"/>
      <c r="G70" s="42"/>
      <c r="H70" s="146"/>
      <c r="I70" s="161"/>
      <c r="J70" s="146">
        <v>0</v>
      </c>
      <c r="K70" s="146">
        <v>0</v>
      </c>
      <c r="L70" s="146">
        <v>0</v>
      </c>
      <c r="M70" s="146">
        <v>0</v>
      </c>
      <c r="N70" s="146">
        <v>0</v>
      </c>
      <c r="O70" s="146">
        <v>0</v>
      </c>
      <c r="P70" s="146">
        <v>0</v>
      </c>
      <c r="Q70" s="146">
        <v>0</v>
      </c>
      <c r="R70" s="146">
        <v>0</v>
      </c>
      <c r="S70" s="146">
        <v>0</v>
      </c>
      <c r="T70" s="146">
        <v>0</v>
      </c>
      <c r="U70" s="146">
        <v>0</v>
      </c>
      <c r="V70" s="146">
        <f t="shared" si="7"/>
        <v>0</v>
      </c>
      <c r="W70" s="141">
        <f t="shared" ref="W70:W77" si="26">SUM(J70:U70)-V70</f>
        <v>0</v>
      </c>
    </row>
    <row r="71" spans="1:25" x14ac:dyDescent="0.45">
      <c r="A71" s="42"/>
      <c r="B71" s="42"/>
      <c r="C71" s="42"/>
      <c r="D71" s="42"/>
      <c r="E71" s="42" t="s">
        <v>106</v>
      </c>
      <c r="F71" s="42"/>
      <c r="G71" s="42"/>
      <c r="H71" s="146">
        <v>6000</v>
      </c>
      <c r="I71" s="161"/>
      <c r="J71" s="146">
        <v>500</v>
      </c>
      <c r="K71" s="146">
        <v>500</v>
      </c>
      <c r="L71" s="146">
        <v>500</v>
      </c>
      <c r="M71" s="146">
        <v>500</v>
      </c>
      <c r="N71" s="146">
        <v>500</v>
      </c>
      <c r="O71" s="146">
        <v>500</v>
      </c>
      <c r="P71" s="146">
        <v>500</v>
      </c>
      <c r="Q71" s="146">
        <v>500</v>
      </c>
      <c r="R71" s="146">
        <v>500</v>
      </c>
      <c r="S71" s="146">
        <v>500</v>
      </c>
      <c r="T71" s="146">
        <v>500</v>
      </c>
      <c r="U71" s="146">
        <v>500</v>
      </c>
      <c r="V71" s="146">
        <f t="shared" si="7"/>
        <v>6000</v>
      </c>
      <c r="W71" s="141">
        <f t="shared" si="26"/>
        <v>0</v>
      </c>
    </row>
    <row r="72" spans="1:25" x14ac:dyDescent="0.45">
      <c r="A72" s="42"/>
      <c r="B72" s="42"/>
      <c r="C72" s="42"/>
      <c r="D72" s="42"/>
      <c r="E72" s="42" t="s">
        <v>105</v>
      </c>
      <c r="F72" s="42"/>
      <c r="G72" s="42"/>
      <c r="H72" s="146">
        <v>18000</v>
      </c>
      <c r="I72" s="161"/>
      <c r="J72" s="146">
        <v>1500</v>
      </c>
      <c r="K72" s="146">
        <v>1500</v>
      </c>
      <c r="L72" s="146">
        <v>1500</v>
      </c>
      <c r="M72" s="146">
        <v>1500</v>
      </c>
      <c r="N72" s="146">
        <v>1500</v>
      </c>
      <c r="O72" s="146">
        <v>1500</v>
      </c>
      <c r="P72" s="146">
        <v>1500</v>
      </c>
      <c r="Q72" s="146">
        <v>1500</v>
      </c>
      <c r="R72" s="146">
        <v>1500</v>
      </c>
      <c r="S72" s="146">
        <v>1500</v>
      </c>
      <c r="T72" s="146">
        <v>1500</v>
      </c>
      <c r="U72" s="146">
        <v>1500</v>
      </c>
      <c r="V72" s="146">
        <f t="shared" si="7"/>
        <v>18000</v>
      </c>
      <c r="W72" s="141">
        <f t="shared" si="26"/>
        <v>0</v>
      </c>
    </row>
    <row r="73" spans="1:25" x14ac:dyDescent="0.45">
      <c r="A73" s="42"/>
      <c r="B73" s="42"/>
      <c r="C73" s="42"/>
      <c r="D73" s="42"/>
      <c r="E73" s="42" t="s">
        <v>103</v>
      </c>
      <c r="F73" s="42"/>
      <c r="G73" s="42"/>
      <c r="H73" s="152">
        <v>2000</v>
      </c>
      <c r="I73" s="161"/>
      <c r="J73" s="152">
        <v>167</v>
      </c>
      <c r="K73" s="152">
        <v>167</v>
      </c>
      <c r="L73" s="152">
        <v>167</v>
      </c>
      <c r="M73" s="152">
        <v>167</v>
      </c>
      <c r="N73" s="152">
        <v>167</v>
      </c>
      <c r="O73" s="152">
        <v>167</v>
      </c>
      <c r="P73" s="152">
        <v>167</v>
      </c>
      <c r="Q73" s="152">
        <v>167</v>
      </c>
      <c r="R73" s="152">
        <v>166</v>
      </c>
      <c r="S73" s="152">
        <v>166</v>
      </c>
      <c r="T73" s="152">
        <v>166</v>
      </c>
      <c r="U73" s="152">
        <v>166</v>
      </c>
      <c r="V73" s="152">
        <f t="shared" si="7"/>
        <v>2000</v>
      </c>
      <c r="W73" s="141">
        <f t="shared" si="26"/>
        <v>0</v>
      </c>
    </row>
    <row r="74" spans="1:25" x14ac:dyDescent="0.45">
      <c r="A74" s="42"/>
      <c r="B74" s="42"/>
      <c r="C74" s="42"/>
      <c r="D74" s="42"/>
      <c r="E74" s="42" t="s">
        <v>102</v>
      </c>
      <c r="F74" s="42"/>
      <c r="G74" s="42"/>
      <c r="H74" s="152">
        <v>1100</v>
      </c>
      <c r="I74" s="161"/>
      <c r="J74" s="152">
        <v>92</v>
      </c>
      <c r="K74" s="152">
        <v>92</v>
      </c>
      <c r="L74" s="152">
        <v>92</v>
      </c>
      <c r="M74" s="152">
        <v>92</v>
      </c>
      <c r="N74" s="152">
        <v>92</v>
      </c>
      <c r="O74" s="152">
        <v>92</v>
      </c>
      <c r="P74" s="152">
        <v>92</v>
      </c>
      <c r="Q74" s="152">
        <v>92</v>
      </c>
      <c r="R74" s="152">
        <v>91</v>
      </c>
      <c r="S74" s="152">
        <v>91</v>
      </c>
      <c r="T74" s="152">
        <v>91</v>
      </c>
      <c r="U74" s="152">
        <v>91</v>
      </c>
      <c r="V74" s="152">
        <f t="shared" ref="V74:V116" si="27">SUM(J74:U74)</f>
        <v>1100</v>
      </c>
      <c r="W74" s="141">
        <f t="shared" si="26"/>
        <v>0</v>
      </c>
    </row>
    <row r="75" spans="1:25" x14ac:dyDescent="0.45">
      <c r="A75" s="42"/>
      <c r="B75" s="42"/>
      <c r="C75" s="42"/>
      <c r="D75" s="42"/>
      <c r="E75" s="42" t="s">
        <v>101</v>
      </c>
      <c r="F75" s="42"/>
      <c r="G75" s="42"/>
      <c r="H75" s="152">
        <v>6000</v>
      </c>
      <c r="I75" s="161"/>
      <c r="J75" s="152">
        <v>500</v>
      </c>
      <c r="K75" s="152">
        <v>500</v>
      </c>
      <c r="L75" s="152">
        <v>500</v>
      </c>
      <c r="M75" s="152">
        <v>500</v>
      </c>
      <c r="N75" s="152">
        <v>500</v>
      </c>
      <c r="O75" s="152">
        <v>500</v>
      </c>
      <c r="P75" s="152">
        <v>500</v>
      </c>
      <c r="Q75" s="152">
        <v>500</v>
      </c>
      <c r="R75" s="152">
        <v>500</v>
      </c>
      <c r="S75" s="152">
        <v>500</v>
      </c>
      <c r="T75" s="152">
        <v>500</v>
      </c>
      <c r="U75" s="152">
        <v>500</v>
      </c>
      <c r="V75" s="152">
        <f t="shared" si="27"/>
        <v>6000</v>
      </c>
      <c r="W75" s="141">
        <f t="shared" si="26"/>
        <v>0</v>
      </c>
    </row>
    <row r="76" spans="1:25" x14ac:dyDescent="0.45">
      <c r="A76" s="42"/>
      <c r="B76" s="42"/>
      <c r="C76" s="42"/>
      <c r="D76" s="42"/>
      <c r="E76" s="42" t="s">
        <v>100</v>
      </c>
      <c r="F76" s="42"/>
      <c r="G76" s="42"/>
      <c r="H76" s="152">
        <v>10000</v>
      </c>
      <c r="I76" s="161"/>
      <c r="J76" s="152">
        <v>833</v>
      </c>
      <c r="K76" s="152">
        <v>833</v>
      </c>
      <c r="L76" s="152">
        <v>833</v>
      </c>
      <c r="M76" s="152">
        <v>833</v>
      </c>
      <c r="N76" s="152">
        <v>833</v>
      </c>
      <c r="O76" s="152">
        <v>833</v>
      </c>
      <c r="P76" s="152">
        <v>833</v>
      </c>
      <c r="Q76" s="152">
        <v>833</v>
      </c>
      <c r="R76" s="152">
        <v>834</v>
      </c>
      <c r="S76" s="152">
        <v>834</v>
      </c>
      <c r="T76" s="152">
        <v>834</v>
      </c>
      <c r="U76" s="152">
        <v>834</v>
      </c>
      <c r="V76" s="152">
        <f t="shared" si="27"/>
        <v>10000</v>
      </c>
      <c r="W76" s="141">
        <f t="shared" si="26"/>
        <v>0</v>
      </c>
    </row>
    <row r="77" spans="1:25" x14ac:dyDescent="0.45">
      <c r="A77" s="42"/>
      <c r="B77" s="42"/>
      <c r="C77" s="42"/>
      <c r="D77" s="42"/>
      <c r="E77" s="42" t="s">
        <v>98</v>
      </c>
      <c r="F77" s="42"/>
      <c r="G77" s="42"/>
      <c r="H77" s="152"/>
      <c r="I77" s="161"/>
      <c r="J77" s="152">
        <v>0</v>
      </c>
      <c r="K77" s="152">
        <v>0</v>
      </c>
      <c r="L77" s="152">
        <v>0</v>
      </c>
      <c r="M77" s="152">
        <v>0</v>
      </c>
      <c r="N77" s="152">
        <v>0</v>
      </c>
      <c r="O77" s="152">
        <v>0</v>
      </c>
      <c r="P77" s="152">
        <v>0</v>
      </c>
      <c r="Q77" s="152">
        <v>0</v>
      </c>
      <c r="R77" s="152">
        <v>0</v>
      </c>
      <c r="S77" s="152">
        <v>0</v>
      </c>
      <c r="T77" s="152">
        <v>0</v>
      </c>
      <c r="U77" s="152">
        <v>0</v>
      </c>
      <c r="V77" s="152">
        <f t="shared" si="27"/>
        <v>0</v>
      </c>
      <c r="W77" s="141">
        <f t="shared" si="26"/>
        <v>0</v>
      </c>
    </row>
    <row r="78" spans="1:25" x14ac:dyDescent="0.45">
      <c r="A78" s="42"/>
      <c r="B78" s="42"/>
      <c r="C78" s="42"/>
      <c r="D78" s="42"/>
      <c r="E78" s="42"/>
      <c r="F78" s="42" t="s">
        <v>97</v>
      </c>
      <c r="G78" s="42"/>
      <c r="H78" s="152">
        <v>10398</v>
      </c>
      <c r="I78" s="161"/>
      <c r="J78" s="152">
        <v>875</v>
      </c>
      <c r="K78" s="152">
        <v>875</v>
      </c>
      <c r="L78" s="152">
        <v>875</v>
      </c>
      <c r="M78" s="152">
        <v>900</v>
      </c>
      <c r="N78" s="152">
        <v>900</v>
      </c>
      <c r="O78" s="152">
        <v>900</v>
      </c>
      <c r="P78" s="152">
        <v>890</v>
      </c>
      <c r="Q78" s="152">
        <v>890</v>
      </c>
      <c r="R78" s="152">
        <v>890</v>
      </c>
      <c r="S78" s="152">
        <v>801</v>
      </c>
      <c r="T78" s="152">
        <v>801</v>
      </c>
      <c r="U78" s="152">
        <v>801</v>
      </c>
      <c r="V78" s="152">
        <f t="shared" si="27"/>
        <v>10398</v>
      </c>
      <c r="W78" s="141">
        <f>V78-H78</f>
        <v>0</v>
      </c>
    </row>
    <row r="79" spans="1:25" x14ac:dyDescent="0.45">
      <c r="A79" s="42"/>
      <c r="B79" s="42"/>
      <c r="C79" s="42"/>
      <c r="D79" s="42"/>
      <c r="E79" s="42"/>
      <c r="F79" s="42" t="s">
        <v>96</v>
      </c>
      <c r="G79" s="42"/>
      <c r="H79" s="152">
        <v>13155</v>
      </c>
      <c r="I79" s="161"/>
      <c r="J79" s="152">
        <v>1090</v>
      </c>
      <c r="K79" s="152">
        <v>1090</v>
      </c>
      <c r="L79" s="152">
        <v>1025</v>
      </c>
      <c r="M79" s="152">
        <v>1025</v>
      </c>
      <c r="N79" s="152">
        <v>1025</v>
      </c>
      <c r="O79" s="152">
        <v>1100</v>
      </c>
      <c r="P79" s="152">
        <v>1100</v>
      </c>
      <c r="Q79" s="152">
        <v>1100</v>
      </c>
      <c r="R79" s="152">
        <v>1150</v>
      </c>
      <c r="S79" s="152">
        <v>1150</v>
      </c>
      <c r="T79" s="152">
        <v>1150</v>
      </c>
      <c r="U79" s="152">
        <v>1150</v>
      </c>
      <c r="V79" s="152">
        <f t="shared" si="27"/>
        <v>13155</v>
      </c>
      <c r="W79" s="141">
        <f t="shared" ref="W79:W121" si="28">V79-H79</f>
        <v>0</v>
      </c>
    </row>
    <row r="80" spans="1:25" x14ac:dyDescent="0.45">
      <c r="A80" s="42"/>
      <c r="B80" s="42"/>
      <c r="C80" s="42"/>
      <c r="D80" s="42"/>
      <c r="E80" s="42"/>
      <c r="F80" s="42" t="s">
        <v>95</v>
      </c>
      <c r="G80" s="42"/>
      <c r="H80" s="152">
        <v>4286</v>
      </c>
      <c r="I80" s="161"/>
      <c r="J80" s="152">
        <v>357</v>
      </c>
      <c r="K80" s="152">
        <v>357</v>
      </c>
      <c r="L80" s="152">
        <v>357</v>
      </c>
      <c r="M80" s="152">
        <v>357</v>
      </c>
      <c r="N80" s="152">
        <v>357</v>
      </c>
      <c r="O80" s="152">
        <v>357</v>
      </c>
      <c r="P80" s="152">
        <v>357</v>
      </c>
      <c r="Q80" s="152">
        <v>357</v>
      </c>
      <c r="R80" s="152">
        <v>357</v>
      </c>
      <c r="S80" s="152">
        <v>357</v>
      </c>
      <c r="T80" s="152">
        <v>358</v>
      </c>
      <c r="U80" s="152">
        <v>358</v>
      </c>
      <c r="V80" s="152">
        <f t="shared" si="27"/>
        <v>4286</v>
      </c>
      <c r="W80" s="141">
        <f t="shared" si="28"/>
        <v>0</v>
      </c>
    </row>
    <row r="81" spans="1:25" x14ac:dyDescent="0.45">
      <c r="A81" s="42"/>
      <c r="B81" s="42"/>
      <c r="C81" s="42"/>
      <c r="D81" s="42"/>
      <c r="E81" s="42"/>
      <c r="F81" s="42" t="s">
        <v>94</v>
      </c>
      <c r="G81" s="42"/>
      <c r="H81" s="152">
        <v>4474</v>
      </c>
      <c r="I81" s="161"/>
      <c r="J81" s="152">
        <v>373</v>
      </c>
      <c r="K81" s="152">
        <v>373</v>
      </c>
      <c r="L81" s="152">
        <v>373</v>
      </c>
      <c r="M81" s="152">
        <v>373</v>
      </c>
      <c r="N81" s="152">
        <v>373</v>
      </c>
      <c r="O81" s="152">
        <v>373</v>
      </c>
      <c r="P81" s="152">
        <v>373</v>
      </c>
      <c r="Q81" s="152">
        <v>373</v>
      </c>
      <c r="R81" s="152">
        <v>373</v>
      </c>
      <c r="S81" s="152">
        <v>373</v>
      </c>
      <c r="T81" s="152">
        <v>372</v>
      </c>
      <c r="U81" s="152">
        <v>372</v>
      </c>
      <c r="V81" s="152">
        <f t="shared" si="27"/>
        <v>4474</v>
      </c>
      <c r="W81" s="141">
        <f t="shared" si="28"/>
        <v>0</v>
      </c>
    </row>
    <row r="82" spans="1:25" ht="14.65" thickBot="1" x14ac:dyDescent="0.5">
      <c r="A82" s="42"/>
      <c r="B82" s="42"/>
      <c r="C82" s="42"/>
      <c r="D82" s="42"/>
      <c r="E82" s="42"/>
      <c r="F82" s="42" t="s">
        <v>93</v>
      </c>
      <c r="G82" s="42"/>
      <c r="H82" s="153">
        <v>4910</v>
      </c>
      <c r="I82" s="161"/>
      <c r="J82" s="153">
        <v>409</v>
      </c>
      <c r="K82" s="153">
        <v>409</v>
      </c>
      <c r="L82" s="153">
        <v>409</v>
      </c>
      <c r="M82" s="153">
        <v>409</v>
      </c>
      <c r="N82" s="153">
        <v>409</v>
      </c>
      <c r="O82" s="153">
        <v>409</v>
      </c>
      <c r="P82" s="153">
        <v>409</v>
      </c>
      <c r="Q82" s="153">
        <v>409</v>
      </c>
      <c r="R82" s="153">
        <v>409</v>
      </c>
      <c r="S82" s="153">
        <v>409</v>
      </c>
      <c r="T82" s="153">
        <v>410</v>
      </c>
      <c r="U82" s="153">
        <v>410</v>
      </c>
      <c r="V82" s="153">
        <f t="shared" si="27"/>
        <v>4910</v>
      </c>
      <c r="W82" s="141">
        <f t="shared" si="28"/>
        <v>0</v>
      </c>
    </row>
    <row r="83" spans="1:25" ht="14.65" thickBot="1" x14ac:dyDescent="0.5">
      <c r="A83" s="42"/>
      <c r="B83" s="42"/>
      <c r="C83" s="42"/>
      <c r="D83" s="42"/>
      <c r="E83" s="42" t="s">
        <v>92</v>
      </c>
      <c r="F83" s="42"/>
      <c r="G83" s="42"/>
      <c r="H83" s="153">
        <f>SUM(H78:H82)</f>
        <v>37223</v>
      </c>
      <c r="I83" s="161"/>
      <c r="J83" s="153">
        <f t="shared" ref="J83:V83" si="29">SUM(J78:J82)</f>
        <v>3104</v>
      </c>
      <c r="K83" s="153">
        <f t="shared" si="29"/>
        <v>3104</v>
      </c>
      <c r="L83" s="153">
        <f t="shared" si="29"/>
        <v>3039</v>
      </c>
      <c r="M83" s="153">
        <f t="shared" si="29"/>
        <v>3064</v>
      </c>
      <c r="N83" s="153">
        <f t="shared" si="29"/>
        <v>3064</v>
      </c>
      <c r="O83" s="153">
        <f t="shared" si="29"/>
        <v>3139</v>
      </c>
      <c r="P83" s="153">
        <f t="shared" si="29"/>
        <v>3129</v>
      </c>
      <c r="Q83" s="153">
        <f t="shared" si="29"/>
        <v>3129</v>
      </c>
      <c r="R83" s="153">
        <f t="shared" si="29"/>
        <v>3179</v>
      </c>
      <c r="S83" s="153">
        <f t="shared" si="29"/>
        <v>3090</v>
      </c>
      <c r="T83" s="153">
        <f t="shared" si="29"/>
        <v>3091</v>
      </c>
      <c r="U83" s="153">
        <f t="shared" si="29"/>
        <v>3091</v>
      </c>
      <c r="V83" s="153">
        <f t="shared" si="29"/>
        <v>37223</v>
      </c>
      <c r="W83" s="141">
        <f t="shared" si="28"/>
        <v>0</v>
      </c>
    </row>
    <row r="84" spans="1:25" s="43" customFormat="1" x14ac:dyDescent="0.45">
      <c r="A84" s="42"/>
      <c r="B84" s="42"/>
      <c r="C84" s="42"/>
      <c r="D84" s="42" t="s">
        <v>91</v>
      </c>
      <c r="E84" s="42"/>
      <c r="F84" s="42"/>
      <c r="G84" s="42"/>
      <c r="H84" s="154">
        <f t="shared" ref="H84:V84" si="30">SUM(H70:H77)+H83</f>
        <v>80323</v>
      </c>
      <c r="I84" s="161"/>
      <c r="J84" s="154">
        <f t="shared" si="30"/>
        <v>6696</v>
      </c>
      <c r="K84" s="154">
        <f t="shared" si="30"/>
        <v>6696</v>
      </c>
      <c r="L84" s="154">
        <f t="shared" si="30"/>
        <v>6631</v>
      </c>
      <c r="M84" s="154">
        <f t="shared" si="30"/>
        <v>6656</v>
      </c>
      <c r="N84" s="154">
        <f t="shared" si="30"/>
        <v>6656</v>
      </c>
      <c r="O84" s="154">
        <f t="shared" si="30"/>
        <v>6731</v>
      </c>
      <c r="P84" s="154">
        <f t="shared" si="30"/>
        <v>6721</v>
      </c>
      <c r="Q84" s="154">
        <f t="shared" si="30"/>
        <v>6721</v>
      </c>
      <c r="R84" s="154">
        <f t="shared" si="30"/>
        <v>6770</v>
      </c>
      <c r="S84" s="154">
        <f t="shared" si="30"/>
        <v>6681</v>
      </c>
      <c r="T84" s="154">
        <f t="shared" si="30"/>
        <v>6682</v>
      </c>
      <c r="U84" s="154">
        <f t="shared" si="30"/>
        <v>6682</v>
      </c>
      <c r="V84" s="154">
        <f t="shared" si="30"/>
        <v>80323</v>
      </c>
      <c r="W84" s="141">
        <f t="shared" si="28"/>
        <v>0</v>
      </c>
      <c r="X84" s="148"/>
      <c r="Y84" s="140"/>
    </row>
    <row r="85" spans="1:25" x14ac:dyDescent="0.45">
      <c r="A85" s="42"/>
      <c r="B85" s="42"/>
      <c r="C85" s="42"/>
      <c r="D85" s="42" t="s">
        <v>90</v>
      </c>
      <c r="E85" s="42"/>
      <c r="F85" s="42"/>
      <c r="G85" s="42"/>
      <c r="H85" s="152"/>
      <c r="I85" s="161"/>
      <c r="J85" s="152">
        <v>0</v>
      </c>
      <c r="K85" s="152">
        <v>0</v>
      </c>
      <c r="L85" s="152">
        <v>0</v>
      </c>
      <c r="M85" s="152">
        <v>0</v>
      </c>
      <c r="N85" s="152">
        <v>0</v>
      </c>
      <c r="O85" s="152">
        <v>0</v>
      </c>
      <c r="P85" s="152">
        <v>0</v>
      </c>
      <c r="Q85" s="152">
        <v>0</v>
      </c>
      <c r="R85" s="152">
        <v>0</v>
      </c>
      <c r="S85" s="152">
        <v>0</v>
      </c>
      <c r="T85" s="152">
        <v>0</v>
      </c>
      <c r="U85" s="152">
        <v>0</v>
      </c>
      <c r="V85" s="152">
        <f t="shared" si="27"/>
        <v>0</v>
      </c>
      <c r="W85" s="141">
        <f t="shared" si="28"/>
        <v>0</v>
      </c>
    </row>
    <row r="86" spans="1:25" x14ac:dyDescent="0.45">
      <c r="A86" s="42"/>
      <c r="B86" s="42"/>
      <c r="C86" s="42"/>
      <c r="D86" s="42"/>
      <c r="E86" s="42" t="s">
        <v>89</v>
      </c>
      <c r="F86" s="42"/>
      <c r="G86" s="42"/>
      <c r="H86" s="152">
        <v>1836</v>
      </c>
      <c r="I86" s="161"/>
      <c r="J86" s="152">
        <v>153</v>
      </c>
      <c r="K86" s="152">
        <v>153</v>
      </c>
      <c r="L86" s="152">
        <v>153</v>
      </c>
      <c r="M86" s="152">
        <v>153</v>
      </c>
      <c r="N86" s="152">
        <v>153</v>
      </c>
      <c r="O86" s="152">
        <v>153</v>
      </c>
      <c r="P86" s="152">
        <v>153</v>
      </c>
      <c r="Q86" s="152">
        <v>153</v>
      </c>
      <c r="R86" s="152">
        <v>153</v>
      </c>
      <c r="S86" s="152">
        <v>153</v>
      </c>
      <c r="T86" s="152">
        <v>153</v>
      </c>
      <c r="U86" s="152">
        <v>153</v>
      </c>
      <c r="V86" s="152">
        <f t="shared" si="27"/>
        <v>1836</v>
      </c>
      <c r="W86" s="141">
        <f t="shared" si="28"/>
        <v>0</v>
      </c>
    </row>
    <row r="87" spans="1:25" x14ac:dyDescent="0.45">
      <c r="A87" s="42"/>
      <c r="B87" s="42"/>
      <c r="C87" s="42"/>
      <c r="D87" s="42"/>
      <c r="E87" s="42" t="s">
        <v>88</v>
      </c>
      <c r="F87" s="42"/>
      <c r="G87" s="42"/>
      <c r="H87" s="152">
        <v>9180</v>
      </c>
      <c r="I87" s="161"/>
      <c r="J87" s="152">
        <v>765</v>
      </c>
      <c r="K87" s="152">
        <v>765</v>
      </c>
      <c r="L87" s="152">
        <v>765</v>
      </c>
      <c r="M87" s="152">
        <v>765</v>
      </c>
      <c r="N87" s="152">
        <v>765</v>
      </c>
      <c r="O87" s="152">
        <v>765</v>
      </c>
      <c r="P87" s="152">
        <v>765</v>
      </c>
      <c r="Q87" s="152">
        <v>765</v>
      </c>
      <c r="R87" s="152">
        <v>765</v>
      </c>
      <c r="S87" s="152">
        <v>765</v>
      </c>
      <c r="T87" s="152">
        <v>765</v>
      </c>
      <c r="U87" s="152">
        <v>765</v>
      </c>
      <c r="V87" s="152">
        <f t="shared" si="27"/>
        <v>9180</v>
      </c>
      <c r="W87" s="141">
        <f t="shared" si="28"/>
        <v>0</v>
      </c>
    </row>
    <row r="88" spans="1:25" x14ac:dyDescent="0.45">
      <c r="A88" s="42"/>
      <c r="B88" s="42"/>
      <c r="C88" s="42"/>
      <c r="D88" s="42"/>
      <c r="E88" s="42" t="s">
        <v>86</v>
      </c>
      <c r="F88" s="42"/>
      <c r="G88" s="42"/>
      <c r="H88" s="152">
        <v>1938</v>
      </c>
      <c r="I88" s="161"/>
      <c r="J88" s="152">
        <v>162</v>
      </c>
      <c r="K88" s="152">
        <v>162</v>
      </c>
      <c r="L88" s="152">
        <v>162</v>
      </c>
      <c r="M88" s="152">
        <v>162</v>
      </c>
      <c r="N88" s="152">
        <v>162</v>
      </c>
      <c r="O88" s="152">
        <v>162</v>
      </c>
      <c r="P88" s="152">
        <v>161</v>
      </c>
      <c r="Q88" s="152">
        <v>161</v>
      </c>
      <c r="R88" s="152">
        <v>161</v>
      </c>
      <c r="S88" s="152">
        <v>161</v>
      </c>
      <c r="T88" s="152">
        <v>161</v>
      </c>
      <c r="U88" s="152">
        <v>161</v>
      </c>
      <c r="V88" s="152">
        <f t="shared" si="27"/>
        <v>1938</v>
      </c>
      <c r="W88" s="141">
        <f t="shared" si="28"/>
        <v>0</v>
      </c>
    </row>
    <row r="89" spans="1:25" x14ac:dyDescent="0.45">
      <c r="A89" s="42"/>
      <c r="B89" s="42"/>
      <c r="C89" s="42"/>
      <c r="D89" s="42"/>
      <c r="E89" s="42" t="s">
        <v>85</v>
      </c>
      <c r="F89" s="42"/>
      <c r="G89" s="42"/>
      <c r="H89" s="152">
        <v>1632</v>
      </c>
      <c r="I89" s="161"/>
      <c r="J89" s="152">
        <v>136</v>
      </c>
      <c r="K89" s="152">
        <v>136</v>
      </c>
      <c r="L89" s="152">
        <v>136</v>
      </c>
      <c r="M89" s="152">
        <v>136</v>
      </c>
      <c r="N89" s="152">
        <v>136</v>
      </c>
      <c r="O89" s="152">
        <v>136</v>
      </c>
      <c r="P89" s="152">
        <v>136</v>
      </c>
      <c r="Q89" s="152">
        <v>136</v>
      </c>
      <c r="R89" s="152">
        <v>136</v>
      </c>
      <c r="S89" s="152">
        <v>136</v>
      </c>
      <c r="T89" s="152">
        <v>136</v>
      </c>
      <c r="U89" s="152">
        <v>136</v>
      </c>
      <c r="V89" s="152">
        <f t="shared" si="27"/>
        <v>1632</v>
      </c>
      <c r="W89" s="141">
        <f t="shared" si="28"/>
        <v>0</v>
      </c>
    </row>
    <row r="90" spans="1:25" x14ac:dyDescent="0.45">
      <c r="A90" s="42"/>
      <c r="B90" s="42"/>
      <c r="C90" s="42"/>
      <c r="D90" s="42"/>
      <c r="E90" s="42" t="s">
        <v>84</v>
      </c>
      <c r="F90" s="42"/>
      <c r="G90" s="42"/>
      <c r="H90" s="152">
        <v>7956</v>
      </c>
      <c r="I90" s="161"/>
      <c r="J90" s="152">
        <v>663</v>
      </c>
      <c r="K90" s="152">
        <v>663</v>
      </c>
      <c r="L90" s="152">
        <v>663</v>
      </c>
      <c r="M90" s="152">
        <v>663</v>
      </c>
      <c r="N90" s="152">
        <v>663</v>
      </c>
      <c r="O90" s="152">
        <v>663</v>
      </c>
      <c r="P90" s="152">
        <v>663</v>
      </c>
      <c r="Q90" s="152">
        <v>663</v>
      </c>
      <c r="R90" s="152">
        <v>663</v>
      </c>
      <c r="S90" s="152">
        <v>663</v>
      </c>
      <c r="T90" s="152">
        <v>663</v>
      </c>
      <c r="U90" s="152">
        <v>663</v>
      </c>
      <c r="V90" s="152">
        <f t="shared" si="27"/>
        <v>7956</v>
      </c>
      <c r="W90" s="141">
        <f t="shared" si="28"/>
        <v>0</v>
      </c>
    </row>
    <row r="91" spans="1:25" x14ac:dyDescent="0.45">
      <c r="A91" s="42"/>
      <c r="B91" s="42"/>
      <c r="C91" s="42"/>
      <c r="D91" s="42"/>
      <c r="E91" s="42" t="s">
        <v>83</v>
      </c>
      <c r="F91" s="42"/>
      <c r="G91" s="42"/>
      <c r="H91" s="152">
        <v>1875</v>
      </c>
      <c r="I91" s="161"/>
      <c r="J91" s="152">
        <v>156</v>
      </c>
      <c r="K91" s="152">
        <v>156</v>
      </c>
      <c r="L91" s="152">
        <v>156</v>
      </c>
      <c r="M91" s="152">
        <v>156</v>
      </c>
      <c r="N91" s="152">
        <v>156</v>
      </c>
      <c r="O91" s="152">
        <v>156</v>
      </c>
      <c r="P91" s="152">
        <v>156</v>
      </c>
      <c r="Q91" s="152">
        <v>156</v>
      </c>
      <c r="R91" s="152">
        <v>156</v>
      </c>
      <c r="S91" s="152">
        <v>157</v>
      </c>
      <c r="T91" s="152">
        <v>157</v>
      </c>
      <c r="U91" s="152">
        <v>157</v>
      </c>
      <c r="V91" s="152">
        <f t="shared" si="27"/>
        <v>1875</v>
      </c>
      <c r="W91" s="141">
        <f t="shared" si="28"/>
        <v>0</v>
      </c>
    </row>
    <row r="92" spans="1:25" ht="14.65" thickBot="1" x14ac:dyDescent="0.5">
      <c r="A92" s="42"/>
      <c r="B92" s="42"/>
      <c r="C92" s="42"/>
      <c r="D92" s="42"/>
      <c r="E92" s="42" t="s">
        <v>82</v>
      </c>
      <c r="F92" s="42"/>
      <c r="G92" s="42"/>
      <c r="H92" s="152">
        <v>122</v>
      </c>
      <c r="I92" s="161"/>
      <c r="J92" s="152">
        <v>10</v>
      </c>
      <c r="K92" s="152">
        <v>10</v>
      </c>
      <c r="L92" s="152">
        <v>10</v>
      </c>
      <c r="M92" s="152">
        <v>10</v>
      </c>
      <c r="N92" s="152">
        <v>10</v>
      </c>
      <c r="O92" s="152">
        <v>10</v>
      </c>
      <c r="P92" s="152">
        <v>10</v>
      </c>
      <c r="Q92" s="152">
        <v>10</v>
      </c>
      <c r="R92" s="152">
        <v>10</v>
      </c>
      <c r="S92" s="152">
        <v>10</v>
      </c>
      <c r="T92" s="152">
        <v>11</v>
      </c>
      <c r="U92" s="152">
        <v>11</v>
      </c>
      <c r="V92" s="152">
        <f t="shared" si="27"/>
        <v>122</v>
      </c>
      <c r="W92" s="141">
        <f t="shared" si="28"/>
        <v>0</v>
      </c>
    </row>
    <row r="93" spans="1:25" s="43" customFormat="1" x14ac:dyDescent="0.45">
      <c r="A93" s="42"/>
      <c r="B93" s="42"/>
      <c r="C93" s="42"/>
      <c r="D93" s="42" t="s">
        <v>81</v>
      </c>
      <c r="E93" s="42"/>
      <c r="F93" s="42"/>
      <c r="G93" s="42"/>
      <c r="H93" s="155">
        <f t="shared" ref="H93:V93" si="31">SUM(H86:H92)</f>
        <v>24539</v>
      </c>
      <c r="I93" s="161"/>
      <c r="J93" s="155">
        <f t="shared" si="31"/>
        <v>2045</v>
      </c>
      <c r="K93" s="155">
        <f t="shared" si="31"/>
        <v>2045</v>
      </c>
      <c r="L93" s="155">
        <f t="shared" si="31"/>
        <v>2045</v>
      </c>
      <c r="M93" s="155">
        <f t="shared" si="31"/>
        <v>2045</v>
      </c>
      <c r="N93" s="155">
        <f t="shared" si="31"/>
        <v>2045</v>
      </c>
      <c r="O93" s="155">
        <f t="shared" si="31"/>
        <v>2045</v>
      </c>
      <c r="P93" s="155">
        <f t="shared" si="31"/>
        <v>2044</v>
      </c>
      <c r="Q93" s="155">
        <f t="shared" si="31"/>
        <v>2044</v>
      </c>
      <c r="R93" s="155">
        <f t="shared" si="31"/>
        <v>2044</v>
      </c>
      <c r="S93" s="155">
        <f t="shared" si="31"/>
        <v>2045</v>
      </c>
      <c r="T93" s="155">
        <f t="shared" si="31"/>
        <v>2046</v>
      </c>
      <c r="U93" s="155">
        <f t="shared" si="31"/>
        <v>2046</v>
      </c>
      <c r="V93" s="155">
        <f t="shared" si="31"/>
        <v>24539</v>
      </c>
      <c r="W93" s="141">
        <f t="shared" si="28"/>
        <v>0</v>
      </c>
      <c r="X93" s="148"/>
      <c r="Y93" s="140"/>
    </row>
    <row r="94" spans="1:25" s="43" customFormat="1" x14ac:dyDescent="0.45">
      <c r="A94" s="42"/>
      <c r="B94" s="42"/>
      <c r="C94" s="42"/>
      <c r="D94" s="42" t="s">
        <v>80</v>
      </c>
      <c r="F94" s="42"/>
      <c r="G94" s="42"/>
      <c r="H94" s="154">
        <v>28000</v>
      </c>
      <c r="I94" s="161"/>
      <c r="J94" s="154">
        <v>0</v>
      </c>
      <c r="K94" s="154">
        <v>0</v>
      </c>
      <c r="L94" s="154">
        <v>2800</v>
      </c>
      <c r="M94" s="154">
        <f t="shared" ref="M94:U94" si="32">L94</f>
        <v>2800</v>
      </c>
      <c r="N94" s="154">
        <f t="shared" si="32"/>
        <v>2800</v>
      </c>
      <c r="O94" s="154">
        <f t="shared" si="32"/>
        <v>2800</v>
      </c>
      <c r="P94" s="154">
        <f t="shared" si="32"/>
        <v>2800</v>
      </c>
      <c r="Q94" s="154">
        <f t="shared" si="32"/>
        <v>2800</v>
      </c>
      <c r="R94" s="154">
        <f t="shared" si="32"/>
        <v>2800</v>
      </c>
      <c r="S94" s="154">
        <f t="shared" si="32"/>
        <v>2800</v>
      </c>
      <c r="T94" s="154">
        <f t="shared" si="32"/>
        <v>2800</v>
      </c>
      <c r="U94" s="154">
        <f t="shared" si="32"/>
        <v>2800</v>
      </c>
      <c r="V94" s="154">
        <f t="shared" ref="V94" si="33">SUM(J94:U94)</f>
        <v>28000</v>
      </c>
      <c r="W94" s="141">
        <f t="shared" si="28"/>
        <v>0</v>
      </c>
      <c r="X94" s="142"/>
      <c r="Y94" s="140"/>
    </row>
    <row r="95" spans="1:25" x14ac:dyDescent="0.45">
      <c r="A95" s="42"/>
      <c r="B95" s="42"/>
      <c r="C95" s="42"/>
      <c r="D95" s="42" t="s">
        <v>78</v>
      </c>
      <c r="E95" s="42"/>
      <c r="F95" s="42"/>
      <c r="G95" s="42"/>
      <c r="H95" s="152"/>
      <c r="I95" s="161"/>
      <c r="J95" s="152">
        <v>0</v>
      </c>
      <c r="K95" s="152">
        <v>0</v>
      </c>
      <c r="L95" s="152">
        <v>0</v>
      </c>
      <c r="M95" s="152">
        <v>0</v>
      </c>
      <c r="N95" s="152">
        <v>0</v>
      </c>
      <c r="O95" s="152">
        <v>0</v>
      </c>
      <c r="P95" s="152">
        <v>0</v>
      </c>
      <c r="Q95" s="152">
        <v>0</v>
      </c>
      <c r="R95" s="152">
        <v>0</v>
      </c>
      <c r="S95" s="152">
        <v>0</v>
      </c>
      <c r="T95" s="152">
        <v>0</v>
      </c>
      <c r="U95" s="152">
        <v>0</v>
      </c>
      <c r="V95" s="152">
        <f t="shared" si="27"/>
        <v>0</v>
      </c>
      <c r="W95" s="141">
        <f t="shared" si="28"/>
        <v>0</v>
      </c>
    </row>
    <row r="96" spans="1:25" x14ac:dyDescent="0.45">
      <c r="A96" s="42"/>
      <c r="B96" s="42"/>
      <c r="C96" s="42"/>
      <c r="D96" s="42"/>
      <c r="E96" s="42" t="s">
        <v>77</v>
      </c>
      <c r="F96" s="42"/>
      <c r="G96" s="42"/>
      <c r="H96" s="152">
        <v>4050</v>
      </c>
      <c r="I96" s="161"/>
      <c r="J96" s="152">
        <v>338</v>
      </c>
      <c r="K96" s="152">
        <v>338</v>
      </c>
      <c r="L96" s="152">
        <v>338</v>
      </c>
      <c r="M96" s="152">
        <v>338</v>
      </c>
      <c r="N96" s="152">
        <v>338</v>
      </c>
      <c r="O96" s="152">
        <v>338</v>
      </c>
      <c r="P96" s="152">
        <v>337</v>
      </c>
      <c r="Q96" s="152">
        <v>337</v>
      </c>
      <c r="R96" s="152">
        <v>337</v>
      </c>
      <c r="S96" s="152">
        <v>337</v>
      </c>
      <c r="T96" s="152">
        <v>337</v>
      </c>
      <c r="U96" s="152">
        <v>337</v>
      </c>
      <c r="V96" s="152">
        <f t="shared" si="27"/>
        <v>4050</v>
      </c>
      <c r="W96" s="141">
        <f t="shared" si="28"/>
        <v>0</v>
      </c>
    </row>
    <row r="97" spans="1:25" x14ac:dyDescent="0.45">
      <c r="A97" s="42"/>
      <c r="B97" s="42"/>
      <c r="C97" s="42"/>
      <c r="D97" s="42"/>
      <c r="E97" s="42" t="s">
        <v>76</v>
      </c>
      <c r="F97" s="42"/>
      <c r="G97" s="42"/>
      <c r="H97" s="152">
        <v>7650</v>
      </c>
      <c r="I97" s="161"/>
      <c r="J97" s="152">
        <v>638</v>
      </c>
      <c r="K97" s="152">
        <v>638</v>
      </c>
      <c r="L97" s="152">
        <v>638</v>
      </c>
      <c r="M97" s="152">
        <v>638</v>
      </c>
      <c r="N97" s="152">
        <v>638</v>
      </c>
      <c r="O97" s="152">
        <v>638</v>
      </c>
      <c r="P97" s="152">
        <v>637</v>
      </c>
      <c r="Q97" s="152">
        <v>637</v>
      </c>
      <c r="R97" s="152">
        <v>637</v>
      </c>
      <c r="S97" s="152">
        <v>637</v>
      </c>
      <c r="T97" s="152">
        <v>637</v>
      </c>
      <c r="U97" s="152">
        <v>637</v>
      </c>
      <c r="V97" s="152">
        <f t="shared" si="27"/>
        <v>7650</v>
      </c>
      <c r="W97" s="141">
        <f t="shared" si="28"/>
        <v>0</v>
      </c>
    </row>
    <row r="98" spans="1:25" x14ac:dyDescent="0.45">
      <c r="A98" s="42"/>
      <c r="B98" s="42"/>
      <c r="C98" s="42"/>
      <c r="D98" s="42"/>
      <c r="E98" s="42" t="s">
        <v>75</v>
      </c>
      <c r="F98" s="42"/>
      <c r="G98" s="42"/>
      <c r="H98" s="152">
        <v>3885</v>
      </c>
      <c r="I98" s="161"/>
      <c r="J98" s="152">
        <f>ROUND(3885/12,0)</f>
        <v>324</v>
      </c>
      <c r="K98" s="152">
        <f t="shared" ref="K98:U98" si="34">ROUND(3885/12,0)</f>
        <v>324</v>
      </c>
      <c r="L98" s="152">
        <f t="shared" si="34"/>
        <v>324</v>
      </c>
      <c r="M98" s="152">
        <f t="shared" si="34"/>
        <v>324</v>
      </c>
      <c r="N98" s="152">
        <f t="shared" si="34"/>
        <v>324</v>
      </c>
      <c r="O98" s="152">
        <f t="shared" si="34"/>
        <v>324</v>
      </c>
      <c r="P98" s="152">
        <f t="shared" si="34"/>
        <v>324</v>
      </c>
      <c r="Q98" s="152">
        <f t="shared" si="34"/>
        <v>324</v>
      </c>
      <c r="R98" s="152">
        <f t="shared" si="34"/>
        <v>324</v>
      </c>
      <c r="S98" s="152">
        <v>323</v>
      </c>
      <c r="T98" s="152">
        <v>323</v>
      </c>
      <c r="U98" s="152">
        <v>323</v>
      </c>
      <c r="V98" s="152">
        <f t="shared" si="27"/>
        <v>3885</v>
      </c>
      <c r="W98" s="141">
        <f t="shared" si="28"/>
        <v>0</v>
      </c>
    </row>
    <row r="99" spans="1:25" x14ac:dyDescent="0.45">
      <c r="A99" s="42"/>
      <c r="B99" s="42"/>
      <c r="C99" s="42"/>
      <c r="D99" s="42"/>
      <c r="E99" s="42" t="s">
        <v>74</v>
      </c>
      <c r="F99" s="42"/>
      <c r="G99" s="42"/>
      <c r="H99" s="152"/>
      <c r="I99" s="161"/>
      <c r="J99" s="152">
        <v>0</v>
      </c>
      <c r="K99" s="152">
        <v>0</v>
      </c>
      <c r="L99" s="152">
        <v>0</v>
      </c>
      <c r="M99" s="152">
        <v>0</v>
      </c>
      <c r="N99" s="152">
        <v>0</v>
      </c>
      <c r="O99" s="152">
        <v>0</v>
      </c>
      <c r="P99" s="152">
        <v>0</v>
      </c>
      <c r="Q99" s="152">
        <v>0</v>
      </c>
      <c r="R99" s="152">
        <v>0</v>
      </c>
      <c r="S99" s="152">
        <v>0</v>
      </c>
      <c r="T99" s="152">
        <v>0</v>
      </c>
      <c r="U99" s="152">
        <v>0</v>
      </c>
      <c r="V99" s="152">
        <f t="shared" si="27"/>
        <v>0</v>
      </c>
      <c r="W99" s="141">
        <f t="shared" si="28"/>
        <v>0</v>
      </c>
    </row>
    <row r="100" spans="1:25" x14ac:dyDescent="0.45">
      <c r="A100" s="42"/>
      <c r="B100" s="42"/>
      <c r="C100" s="42"/>
      <c r="D100" s="42"/>
      <c r="E100" s="42"/>
      <c r="F100" s="42" t="s">
        <v>73</v>
      </c>
      <c r="G100" s="42"/>
      <c r="H100" s="152">
        <v>3000</v>
      </c>
      <c r="I100" s="161"/>
      <c r="J100" s="152">
        <v>250</v>
      </c>
      <c r="K100" s="152">
        <v>250</v>
      </c>
      <c r="L100" s="152">
        <v>250</v>
      </c>
      <c r="M100" s="152">
        <v>250</v>
      </c>
      <c r="N100" s="152">
        <v>250</v>
      </c>
      <c r="O100" s="152">
        <v>250</v>
      </c>
      <c r="P100" s="152">
        <v>250</v>
      </c>
      <c r="Q100" s="152">
        <v>250</v>
      </c>
      <c r="R100" s="152">
        <v>250</v>
      </c>
      <c r="S100" s="152">
        <v>250</v>
      </c>
      <c r="T100" s="152">
        <v>250</v>
      </c>
      <c r="U100" s="152">
        <v>250</v>
      </c>
      <c r="V100" s="152">
        <f t="shared" si="27"/>
        <v>3000</v>
      </c>
      <c r="W100" s="141">
        <f t="shared" si="28"/>
        <v>0</v>
      </c>
    </row>
    <row r="101" spans="1:25" x14ac:dyDescent="0.45">
      <c r="A101" s="42"/>
      <c r="B101" s="42"/>
      <c r="C101" s="42"/>
      <c r="D101" s="42"/>
      <c r="E101" s="42"/>
      <c r="F101" s="42" t="s">
        <v>72</v>
      </c>
      <c r="G101" s="42"/>
      <c r="H101" s="152">
        <v>0</v>
      </c>
      <c r="I101" s="161"/>
      <c r="J101" s="152">
        <v>0</v>
      </c>
      <c r="K101" s="152">
        <v>0</v>
      </c>
      <c r="L101" s="152">
        <v>0</v>
      </c>
      <c r="M101" s="152">
        <v>0</v>
      </c>
      <c r="N101" s="152">
        <v>0</v>
      </c>
      <c r="O101" s="152">
        <v>0</v>
      </c>
      <c r="P101" s="152">
        <v>0</v>
      </c>
      <c r="Q101" s="152">
        <v>0</v>
      </c>
      <c r="R101" s="152">
        <v>0</v>
      </c>
      <c r="S101" s="152">
        <v>0</v>
      </c>
      <c r="T101" s="152">
        <v>0</v>
      </c>
      <c r="U101" s="152">
        <v>0</v>
      </c>
      <c r="V101" s="152">
        <f t="shared" si="27"/>
        <v>0</v>
      </c>
      <c r="W101" s="141">
        <f t="shared" si="28"/>
        <v>0</v>
      </c>
    </row>
    <row r="102" spans="1:25" x14ac:dyDescent="0.45">
      <c r="A102" s="42"/>
      <c r="B102" s="42"/>
      <c r="C102" s="42"/>
      <c r="D102" s="42"/>
      <c r="E102" s="42"/>
      <c r="F102" s="42" t="s">
        <v>71</v>
      </c>
      <c r="G102" s="42"/>
      <c r="H102" s="152">
        <v>750</v>
      </c>
      <c r="I102" s="161"/>
      <c r="J102" s="152">
        <v>0</v>
      </c>
      <c r="K102" s="152">
        <v>0</v>
      </c>
      <c r="L102" s="152">
        <v>0</v>
      </c>
      <c r="M102" s="152">
        <v>0</v>
      </c>
      <c r="N102" s="152">
        <v>0</v>
      </c>
      <c r="O102" s="152">
        <v>750</v>
      </c>
      <c r="P102" s="152">
        <v>0</v>
      </c>
      <c r="Q102" s="152">
        <v>0</v>
      </c>
      <c r="R102" s="152">
        <v>0</v>
      </c>
      <c r="S102" s="152">
        <v>0</v>
      </c>
      <c r="T102" s="152">
        <v>0</v>
      </c>
      <c r="U102" s="152">
        <v>0</v>
      </c>
      <c r="V102" s="152">
        <f t="shared" si="27"/>
        <v>750</v>
      </c>
      <c r="W102" s="141">
        <f t="shared" si="28"/>
        <v>0</v>
      </c>
    </row>
    <row r="103" spans="1:25" ht="14.65" thickBot="1" x14ac:dyDescent="0.5">
      <c r="A103" s="42"/>
      <c r="B103" s="42"/>
      <c r="C103" s="42"/>
      <c r="D103" s="42"/>
      <c r="E103" s="42"/>
      <c r="F103" s="42" t="s">
        <v>70</v>
      </c>
      <c r="G103" s="42"/>
      <c r="H103" s="152">
        <v>3750</v>
      </c>
      <c r="I103" s="161"/>
      <c r="J103" s="152">
        <v>0</v>
      </c>
      <c r="K103" s="152">
        <v>0</v>
      </c>
      <c r="L103" s="152">
        <v>0</v>
      </c>
      <c r="M103" s="152">
        <v>0</v>
      </c>
      <c r="N103" s="152">
        <v>0</v>
      </c>
      <c r="O103" s="152">
        <v>0</v>
      </c>
      <c r="P103" s="152">
        <v>0</v>
      </c>
      <c r="Q103" s="152">
        <v>0</v>
      </c>
      <c r="R103" s="152">
        <v>3750</v>
      </c>
      <c r="S103" s="152">
        <v>0</v>
      </c>
      <c r="T103" s="152">
        <v>0</v>
      </c>
      <c r="U103" s="152">
        <v>0</v>
      </c>
      <c r="V103" s="152">
        <f t="shared" si="27"/>
        <v>3750</v>
      </c>
      <c r="W103" s="141">
        <f t="shared" si="28"/>
        <v>0</v>
      </c>
    </row>
    <row r="104" spans="1:25" s="43" customFormat="1" x14ac:dyDescent="0.45">
      <c r="A104" s="42"/>
      <c r="B104" s="42"/>
      <c r="C104" s="42"/>
      <c r="D104" s="42"/>
      <c r="E104" s="42" t="s">
        <v>69</v>
      </c>
      <c r="F104" s="42"/>
      <c r="G104" s="42"/>
      <c r="H104" s="155">
        <f>SUM(H100:H103)</f>
        <v>7500</v>
      </c>
      <c r="I104" s="161"/>
      <c r="J104" s="155">
        <f t="shared" ref="J104:V104" si="35">SUM(J100:J103)</f>
        <v>250</v>
      </c>
      <c r="K104" s="155">
        <f t="shared" si="35"/>
        <v>250</v>
      </c>
      <c r="L104" s="155">
        <f t="shared" si="35"/>
        <v>250</v>
      </c>
      <c r="M104" s="155">
        <f t="shared" si="35"/>
        <v>250</v>
      </c>
      <c r="N104" s="155">
        <f t="shared" si="35"/>
        <v>250</v>
      </c>
      <c r="O104" s="155">
        <f t="shared" si="35"/>
        <v>1000</v>
      </c>
      <c r="P104" s="155">
        <f t="shared" si="35"/>
        <v>250</v>
      </c>
      <c r="Q104" s="155">
        <f t="shared" si="35"/>
        <v>250</v>
      </c>
      <c r="R104" s="155">
        <f t="shared" si="35"/>
        <v>4000</v>
      </c>
      <c r="S104" s="155">
        <f t="shared" si="35"/>
        <v>250</v>
      </c>
      <c r="T104" s="155">
        <f t="shared" si="35"/>
        <v>250</v>
      </c>
      <c r="U104" s="155">
        <f t="shared" si="35"/>
        <v>250</v>
      </c>
      <c r="V104" s="155">
        <f t="shared" si="35"/>
        <v>7500</v>
      </c>
      <c r="W104" s="141">
        <f t="shared" si="28"/>
        <v>0</v>
      </c>
      <c r="X104" s="148"/>
      <c r="Y104" s="140"/>
    </row>
    <row r="105" spans="1:25" x14ac:dyDescent="0.45">
      <c r="A105" s="42"/>
      <c r="B105" s="42"/>
      <c r="C105" s="42"/>
      <c r="D105" s="42"/>
      <c r="E105" s="42" t="s">
        <v>68</v>
      </c>
      <c r="F105" s="42"/>
      <c r="G105" s="42"/>
      <c r="H105" s="152"/>
      <c r="I105" s="161"/>
      <c r="J105" s="152">
        <v>0</v>
      </c>
      <c r="K105" s="152">
        <v>0</v>
      </c>
      <c r="L105" s="152">
        <v>0</v>
      </c>
      <c r="M105" s="152">
        <v>0</v>
      </c>
      <c r="N105" s="152">
        <v>0</v>
      </c>
      <c r="O105" s="152">
        <v>0</v>
      </c>
      <c r="P105" s="152">
        <v>0</v>
      </c>
      <c r="Q105" s="152">
        <v>0</v>
      </c>
      <c r="R105" s="152">
        <v>0</v>
      </c>
      <c r="S105" s="152">
        <v>0</v>
      </c>
      <c r="T105" s="152">
        <v>0</v>
      </c>
      <c r="U105" s="152">
        <v>0</v>
      </c>
      <c r="V105" s="152">
        <f t="shared" si="27"/>
        <v>0</v>
      </c>
      <c r="W105" s="141">
        <f t="shared" si="28"/>
        <v>0</v>
      </c>
    </row>
    <row r="106" spans="1:25" x14ac:dyDescent="0.45">
      <c r="A106" s="42"/>
      <c r="B106" s="42"/>
      <c r="C106" s="42"/>
      <c r="D106" s="42"/>
      <c r="E106" s="42"/>
      <c r="F106" s="42" t="s">
        <v>67</v>
      </c>
      <c r="G106" s="42"/>
      <c r="H106" s="152">
        <v>200</v>
      </c>
      <c r="I106" s="161"/>
      <c r="J106" s="152">
        <v>17</v>
      </c>
      <c r="K106" s="152">
        <v>17</v>
      </c>
      <c r="L106" s="152">
        <v>17</v>
      </c>
      <c r="M106" s="152">
        <v>17</v>
      </c>
      <c r="N106" s="152">
        <v>17</v>
      </c>
      <c r="O106" s="152">
        <v>17</v>
      </c>
      <c r="P106" s="152">
        <v>17</v>
      </c>
      <c r="Q106" s="152">
        <v>17</v>
      </c>
      <c r="R106" s="152">
        <v>16</v>
      </c>
      <c r="S106" s="152">
        <v>16</v>
      </c>
      <c r="T106" s="152">
        <v>16</v>
      </c>
      <c r="U106" s="152">
        <v>16</v>
      </c>
      <c r="V106" s="152">
        <f t="shared" si="27"/>
        <v>200</v>
      </c>
      <c r="W106" s="141">
        <f t="shared" si="28"/>
        <v>0</v>
      </c>
    </row>
    <row r="107" spans="1:25" x14ac:dyDescent="0.45">
      <c r="A107" s="42"/>
      <c r="B107" s="42"/>
      <c r="C107" s="42"/>
      <c r="D107" s="42"/>
      <c r="E107" s="42"/>
      <c r="F107" s="42" t="s">
        <v>66</v>
      </c>
      <c r="G107" s="42"/>
      <c r="H107" s="152">
        <v>100</v>
      </c>
      <c r="I107" s="161"/>
      <c r="J107" s="152">
        <v>8</v>
      </c>
      <c r="K107" s="152">
        <v>8</v>
      </c>
      <c r="L107" s="152">
        <v>8</v>
      </c>
      <c r="M107" s="152">
        <v>8</v>
      </c>
      <c r="N107" s="152">
        <v>8</v>
      </c>
      <c r="O107" s="152">
        <v>8</v>
      </c>
      <c r="P107" s="152">
        <v>8</v>
      </c>
      <c r="Q107" s="152">
        <v>8</v>
      </c>
      <c r="R107" s="152">
        <v>9</v>
      </c>
      <c r="S107" s="152">
        <v>9</v>
      </c>
      <c r="T107" s="152">
        <v>9</v>
      </c>
      <c r="U107" s="152">
        <v>9</v>
      </c>
      <c r="V107" s="152">
        <f t="shared" si="27"/>
        <v>100</v>
      </c>
      <c r="W107" s="141">
        <f t="shared" si="28"/>
        <v>0</v>
      </c>
    </row>
    <row r="108" spans="1:25" x14ac:dyDescent="0.45">
      <c r="A108" s="42"/>
      <c r="B108" s="42"/>
      <c r="C108" s="42"/>
      <c r="D108" s="42"/>
      <c r="E108" s="42"/>
      <c r="F108" s="42" t="s">
        <v>65</v>
      </c>
      <c r="G108" s="42"/>
      <c r="H108" s="152">
        <v>250</v>
      </c>
      <c r="I108" s="161"/>
      <c r="J108" s="152">
        <v>21</v>
      </c>
      <c r="K108" s="152">
        <v>21</v>
      </c>
      <c r="L108" s="152">
        <v>21</v>
      </c>
      <c r="M108" s="152">
        <v>21</v>
      </c>
      <c r="N108" s="152">
        <v>21</v>
      </c>
      <c r="O108" s="152">
        <v>21</v>
      </c>
      <c r="P108" s="152">
        <v>21</v>
      </c>
      <c r="Q108" s="152">
        <v>21</v>
      </c>
      <c r="R108" s="152">
        <v>21</v>
      </c>
      <c r="S108" s="152">
        <v>21</v>
      </c>
      <c r="T108" s="152">
        <v>20</v>
      </c>
      <c r="U108" s="152">
        <v>20</v>
      </c>
      <c r="V108" s="152">
        <f t="shared" si="27"/>
        <v>250</v>
      </c>
      <c r="W108" s="141">
        <f t="shared" si="28"/>
        <v>0</v>
      </c>
    </row>
    <row r="109" spans="1:25" x14ac:dyDescent="0.45">
      <c r="A109" s="42"/>
      <c r="B109" s="42"/>
      <c r="C109" s="42"/>
      <c r="D109" s="42"/>
      <c r="E109" s="42"/>
      <c r="F109" s="42" t="s">
        <v>64</v>
      </c>
      <c r="G109" s="42"/>
      <c r="H109" s="152">
        <v>400</v>
      </c>
      <c r="I109" s="161"/>
      <c r="J109" s="152">
        <v>33</v>
      </c>
      <c r="K109" s="152">
        <v>33</v>
      </c>
      <c r="L109" s="152">
        <v>33</v>
      </c>
      <c r="M109" s="152">
        <v>33</v>
      </c>
      <c r="N109" s="152">
        <v>33</v>
      </c>
      <c r="O109" s="152">
        <v>33</v>
      </c>
      <c r="P109" s="152">
        <v>33</v>
      </c>
      <c r="Q109" s="152">
        <v>33</v>
      </c>
      <c r="R109" s="152">
        <v>34</v>
      </c>
      <c r="S109" s="152">
        <v>34</v>
      </c>
      <c r="T109" s="152">
        <v>34</v>
      </c>
      <c r="U109" s="152">
        <v>34</v>
      </c>
      <c r="V109" s="152">
        <f t="shared" si="27"/>
        <v>400</v>
      </c>
      <c r="W109" s="141">
        <f t="shared" si="28"/>
        <v>0</v>
      </c>
    </row>
    <row r="110" spans="1:25" x14ac:dyDescent="0.45">
      <c r="A110" s="42"/>
      <c r="B110" s="42"/>
      <c r="C110" s="42"/>
      <c r="D110" s="42"/>
      <c r="E110" s="42"/>
      <c r="F110" s="42" t="s">
        <v>63</v>
      </c>
      <c r="G110" s="42"/>
      <c r="H110" s="152">
        <v>400</v>
      </c>
      <c r="I110" s="161"/>
      <c r="J110" s="152">
        <v>33</v>
      </c>
      <c r="K110" s="152">
        <v>33</v>
      </c>
      <c r="L110" s="152">
        <v>33</v>
      </c>
      <c r="M110" s="152">
        <v>33</v>
      </c>
      <c r="N110" s="152">
        <v>33</v>
      </c>
      <c r="O110" s="152">
        <v>33</v>
      </c>
      <c r="P110" s="152">
        <v>33</v>
      </c>
      <c r="Q110" s="152">
        <v>33</v>
      </c>
      <c r="R110" s="152">
        <v>34</v>
      </c>
      <c r="S110" s="152">
        <v>34</v>
      </c>
      <c r="T110" s="152">
        <v>34</v>
      </c>
      <c r="U110" s="152">
        <v>34</v>
      </c>
      <c r="V110" s="152">
        <f t="shared" si="27"/>
        <v>400</v>
      </c>
      <c r="W110" s="141">
        <f t="shared" si="28"/>
        <v>0</v>
      </c>
    </row>
    <row r="111" spans="1:25" x14ac:dyDescent="0.45">
      <c r="A111" s="42"/>
      <c r="B111" s="42"/>
      <c r="C111" s="42"/>
      <c r="D111" s="42"/>
      <c r="E111" s="42"/>
      <c r="F111" s="42" t="s">
        <v>62</v>
      </c>
      <c r="G111" s="42"/>
      <c r="H111" s="152">
        <v>400</v>
      </c>
      <c r="I111" s="161"/>
      <c r="J111" s="152">
        <v>33</v>
      </c>
      <c r="K111" s="152">
        <v>33</v>
      </c>
      <c r="L111" s="152">
        <v>33</v>
      </c>
      <c r="M111" s="152">
        <v>33</v>
      </c>
      <c r="N111" s="152">
        <v>33</v>
      </c>
      <c r="O111" s="152">
        <v>33</v>
      </c>
      <c r="P111" s="152">
        <v>33</v>
      </c>
      <c r="Q111" s="152">
        <v>33</v>
      </c>
      <c r="R111" s="152">
        <v>34</v>
      </c>
      <c r="S111" s="152">
        <v>34</v>
      </c>
      <c r="T111" s="152">
        <v>34</v>
      </c>
      <c r="U111" s="152">
        <v>34</v>
      </c>
      <c r="V111" s="152">
        <f t="shared" si="27"/>
        <v>400</v>
      </c>
      <c r="W111" s="141">
        <f t="shared" si="28"/>
        <v>0</v>
      </c>
    </row>
    <row r="112" spans="1:25" x14ac:dyDescent="0.45">
      <c r="A112" s="42"/>
      <c r="B112" s="42"/>
      <c r="C112" s="42"/>
      <c r="D112" s="42"/>
      <c r="E112" s="42"/>
      <c r="F112" s="42" t="s">
        <v>61</v>
      </c>
      <c r="G112" s="42"/>
      <c r="H112" s="152">
        <v>200</v>
      </c>
      <c r="I112" s="161"/>
      <c r="J112" s="152">
        <v>17</v>
      </c>
      <c r="K112" s="152">
        <v>17</v>
      </c>
      <c r="L112" s="152">
        <v>17</v>
      </c>
      <c r="M112" s="152">
        <v>17</v>
      </c>
      <c r="N112" s="152">
        <v>17</v>
      </c>
      <c r="O112" s="152">
        <v>17</v>
      </c>
      <c r="P112" s="152">
        <v>17</v>
      </c>
      <c r="Q112" s="152">
        <v>17</v>
      </c>
      <c r="R112" s="152">
        <v>16</v>
      </c>
      <c r="S112" s="152">
        <v>16</v>
      </c>
      <c r="T112" s="152">
        <v>16</v>
      </c>
      <c r="U112" s="152">
        <v>16</v>
      </c>
      <c r="V112" s="152">
        <f t="shared" si="27"/>
        <v>200</v>
      </c>
      <c r="W112" s="141">
        <f t="shared" si="28"/>
        <v>0</v>
      </c>
    </row>
    <row r="113" spans="1:25" x14ac:dyDescent="0.45">
      <c r="A113" s="42"/>
      <c r="B113" s="42"/>
      <c r="C113" s="42"/>
      <c r="D113" s="42"/>
      <c r="E113" s="42"/>
      <c r="F113" s="42" t="s">
        <v>60</v>
      </c>
      <c r="G113" s="42"/>
      <c r="H113" s="152">
        <v>700</v>
      </c>
      <c r="I113" s="161"/>
      <c r="J113" s="152">
        <v>58</v>
      </c>
      <c r="K113" s="152">
        <v>58</v>
      </c>
      <c r="L113" s="152">
        <v>58</v>
      </c>
      <c r="M113" s="152">
        <v>58</v>
      </c>
      <c r="N113" s="152">
        <v>58</v>
      </c>
      <c r="O113" s="152">
        <v>58</v>
      </c>
      <c r="P113" s="152">
        <v>58</v>
      </c>
      <c r="Q113" s="152">
        <v>58</v>
      </c>
      <c r="R113" s="152">
        <v>59</v>
      </c>
      <c r="S113" s="152">
        <v>59</v>
      </c>
      <c r="T113" s="152">
        <v>59</v>
      </c>
      <c r="U113" s="152">
        <v>59</v>
      </c>
      <c r="V113" s="152">
        <f t="shared" si="27"/>
        <v>700</v>
      </c>
      <c r="W113" s="141">
        <f t="shared" si="28"/>
        <v>0</v>
      </c>
    </row>
    <row r="114" spans="1:25" x14ac:dyDescent="0.45">
      <c r="A114" s="42"/>
      <c r="B114" s="42"/>
      <c r="C114" s="42"/>
      <c r="D114" s="42"/>
      <c r="E114" s="42"/>
      <c r="F114" s="42" t="s">
        <v>59</v>
      </c>
      <c r="G114" s="42"/>
      <c r="H114" s="152">
        <v>0</v>
      </c>
      <c r="I114" s="161"/>
      <c r="J114" s="152">
        <v>0</v>
      </c>
      <c r="K114" s="152">
        <v>0</v>
      </c>
      <c r="L114" s="152">
        <v>0</v>
      </c>
      <c r="M114" s="152">
        <v>0</v>
      </c>
      <c r="N114" s="152">
        <v>0</v>
      </c>
      <c r="O114" s="152">
        <v>0</v>
      </c>
      <c r="P114" s="152">
        <v>0</v>
      </c>
      <c r="Q114" s="152">
        <v>0</v>
      </c>
      <c r="R114" s="152">
        <v>0</v>
      </c>
      <c r="S114" s="152">
        <v>0</v>
      </c>
      <c r="T114" s="152">
        <v>0</v>
      </c>
      <c r="U114" s="152">
        <v>0</v>
      </c>
      <c r="V114" s="152">
        <f t="shared" si="27"/>
        <v>0</v>
      </c>
      <c r="W114" s="141">
        <f t="shared" si="28"/>
        <v>0</v>
      </c>
    </row>
    <row r="115" spans="1:25" x14ac:dyDescent="0.45">
      <c r="A115" s="42"/>
      <c r="B115" s="42"/>
      <c r="C115" s="42"/>
      <c r="D115" s="42"/>
      <c r="E115" s="42"/>
      <c r="F115" s="42" t="s">
        <v>58</v>
      </c>
      <c r="G115" s="42"/>
      <c r="H115" s="152">
        <v>200</v>
      </c>
      <c r="I115" s="161"/>
      <c r="J115" s="152">
        <v>17</v>
      </c>
      <c r="K115" s="152">
        <v>17</v>
      </c>
      <c r="L115" s="152">
        <v>17</v>
      </c>
      <c r="M115" s="152">
        <v>17</v>
      </c>
      <c r="N115" s="152">
        <v>17</v>
      </c>
      <c r="O115" s="152">
        <v>17</v>
      </c>
      <c r="P115" s="152">
        <v>17</v>
      </c>
      <c r="Q115" s="152">
        <v>17</v>
      </c>
      <c r="R115" s="152">
        <v>16</v>
      </c>
      <c r="S115" s="152">
        <v>16</v>
      </c>
      <c r="T115" s="152">
        <v>16</v>
      </c>
      <c r="U115" s="152">
        <v>16</v>
      </c>
      <c r="V115" s="152">
        <f t="shared" si="27"/>
        <v>200</v>
      </c>
      <c r="W115" s="141">
        <f t="shared" si="28"/>
        <v>0</v>
      </c>
    </row>
    <row r="116" spans="1:25" ht="14.65" thickBot="1" x14ac:dyDescent="0.5">
      <c r="A116" s="42"/>
      <c r="B116" s="42"/>
      <c r="C116" s="42"/>
      <c r="D116" s="42"/>
      <c r="E116" s="42"/>
      <c r="F116" s="42" t="s">
        <v>57</v>
      </c>
      <c r="G116" s="42"/>
      <c r="H116" s="152">
        <v>1000</v>
      </c>
      <c r="I116" s="161"/>
      <c r="J116" s="152">
        <v>0</v>
      </c>
      <c r="K116" s="152">
        <v>0</v>
      </c>
      <c r="L116" s="152">
        <v>0</v>
      </c>
      <c r="M116" s="152">
        <v>0</v>
      </c>
      <c r="N116" s="152">
        <v>500</v>
      </c>
      <c r="O116" s="152">
        <v>500</v>
      </c>
      <c r="P116" s="152">
        <v>0</v>
      </c>
      <c r="Q116" s="152">
        <v>0</v>
      </c>
      <c r="R116" s="152">
        <v>0</v>
      </c>
      <c r="S116" s="152">
        <v>0</v>
      </c>
      <c r="T116" s="152">
        <v>0</v>
      </c>
      <c r="U116" s="152">
        <v>0</v>
      </c>
      <c r="V116" s="152">
        <f t="shared" si="27"/>
        <v>1000</v>
      </c>
      <c r="W116" s="141">
        <f t="shared" si="28"/>
        <v>0</v>
      </c>
    </row>
    <row r="117" spans="1:25" s="43" customFormat="1" x14ac:dyDescent="0.45">
      <c r="A117" s="42"/>
      <c r="B117" s="42"/>
      <c r="C117" s="42"/>
      <c r="D117" s="42" t="s">
        <v>186</v>
      </c>
      <c r="E117" s="42"/>
      <c r="F117" s="42"/>
      <c r="G117" s="42"/>
      <c r="H117" s="155">
        <f>SUM(H96:H99)+H104+SUM(H105:H116)</f>
        <v>26935</v>
      </c>
      <c r="I117" s="161"/>
      <c r="J117" s="155">
        <f t="shared" ref="J117:V117" si="36">SUM(J96:J99)+J104+SUM(J105:J116)</f>
        <v>1787</v>
      </c>
      <c r="K117" s="155">
        <f t="shared" si="36"/>
        <v>1787</v>
      </c>
      <c r="L117" s="155">
        <f t="shared" si="36"/>
        <v>1787</v>
      </c>
      <c r="M117" s="155">
        <f t="shared" si="36"/>
        <v>1787</v>
      </c>
      <c r="N117" s="155">
        <f t="shared" si="36"/>
        <v>2287</v>
      </c>
      <c r="O117" s="155">
        <f t="shared" si="36"/>
        <v>3037</v>
      </c>
      <c r="P117" s="155">
        <f t="shared" si="36"/>
        <v>1785</v>
      </c>
      <c r="Q117" s="155">
        <f t="shared" si="36"/>
        <v>1785</v>
      </c>
      <c r="R117" s="155">
        <f t="shared" si="36"/>
        <v>5537</v>
      </c>
      <c r="S117" s="155">
        <f t="shared" si="36"/>
        <v>1786</v>
      </c>
      <c r="T117" s="155">
        <f t="shared" si="36"/>
        <v>1785</v>
      </c>
      <c r="U117" s="155">
        <f t="shared" si="36"/>
        <v>1785</v>
      </c>
      <c r="V117" s="155">
        <f t="shared" si="36"/>
        <v>26935</v>
      </c>
      <c r="W117" s="141">
        <f t="shared" si="28"/>
        <v>0</v>
      </c>
      <c r="X117" s="148"/>
      <c r="Y117" s="140"/>
    </row>
    <row r="118" spans="1:25" s="165" customFormat="1" x14ac:dyDescent="0.45">
      <c r="A118" s="162"/>
      <c r="B118" s="162"/>
      <c r="C118" s="162"/>
      <c r="D118" s="162" t="s">
        <v>55</v>
      </c>
      <c r="E118" s="162"/>
      <c r="F118" s="162"/>
      <c r="G118" s="162"/>
      <c r="H118" s="154">
        <v>30587</v>
      </c>
      <c r="I118" s="161"/>
      <c r="J118" s="163">
        <v>2609.35</v>
      </c>
      <c r="K118" s="163">
        <v>2598.35</v>
      </c>
      <c r="L118" s="163">
        <v>2587.35</v>
      </c>
      <c r="M118" s="163">
        <v>2576.35</v>
      </c>
      <c r="N118" s="163">
        <v>2565.35</v>
      </c>
      <c r="O118" s="163">
        <v>2554.35</v>
      </c>
      <c r="P118" s="163">
        <v>2543.35</v>
      </c>
      <c r="Q118" s="163">
        <v>2532.35</v>
      </c>
      <c r="R118" s="163">
        <v>2521.35</v>
      </c>
      <c r="S118" s="163">
        <v>2510.35</v>
      </c>
      <c r="T118" s="163">
        <v>2499.35</v>
      </c>
      <c r="U118" s="163">
        <v>2489</v>
      </c>
      <c r="V118" s="163">
        <f t="shared" ref="V118:V119" si="37">SUM(J118:U118)</f>
        <v>30586.849999999995</v>
      </c>
      <c r="W118" s="141">
        <f t="shared" si="28"/>
        <v>-0.15000000000509317</v>
      </c>
      <c r="X118" s="164"/>
      <c r="Y118" s="164"/>
    </row>
    <row r="119" spans="1:25" s="165" customFormat="1" ht="14.65" thickBot="1" x14ac:dyDescent="0.5">
      <c r="A119" s="162"/>
      <c r="B119" s="162"/>
      <c r="C119" s="162"/>
      <c r="D119" s="162" t="s">
        <v>54</v>
      </c>
      <c r="E119" s="162"/>
      <c r="F119" s="162"/>
      <c r="G119" s="162"/>
      <c r="H119" s="154">
        <v>31893</v>
      </c>
      <c r="I119" s="161"/>
      <c r="J119" s="163">
        <v>2597.19</v>
      </c>
      <c r="K119" s="163">
        <v>2608.19</v>
      </c>
      <c r="L119" s="163">
        <v>2619.19</v>
      </c>
      <c r="M119" s="163">
        <v>2630.19</v>
      </c>
      <c r="N119" s="163">
        <v>2641.19</v>
      </c>
      <c r="O119" s="163">
        <v>2652.19</v>
      </c>
      <c r="P119" s="163">
        <v>2663.19</v>
      </c>
      <c r="Q119" s="163">
        <v>2674.19</v>
      </c>
      <c r="R119" s="163">
        <v>2685.19</v>
      </c>
      <c r="S119" s="163">
        <v>2696.19</v>
      </c>
      <c r="T119" s="163">
        <v>2707.19</v>
      </c>
      <c r="U119" s="163">
        <v>2719</v>
      </c>
      <c r="V119" s="163">
        <f t="shared" si="37"/>
        <v>31893.089999999997</v>
      </c>
      <c r="W119" s="141">
        <f t="shared" si="28"/>
        <v>8.999999999650754E-2</v>
      </c>
      <c r="X119" s="164"/>
      <c r="Y119" s="164"/>
    </row>
    <row r="120" spans="1:25" s="43" customFormat="1" ht="14.65" thickBot="1" x14ac:dyDescent="0.5">
      <c r="A120" s="42"/>
      <c r="B120" s="42"/>
      <c r="C120" s="42" t="s">
        <v>53</v>
      </c>
      <c r="D120" s="42"/>
      <c r="E120" s="42"/>
      <c r="F120" s="42"/>
      <c r="G120" s="42"/>
      <c r="H120" s="156">
        <f>SUM(H119,H118,H117,H94,H93,H84,H69)</f>
        <v>633711.19999999995</v>
      </c>
      <c r="I120" s="161"/>
      <c r="J120" s="156">
        <f t="shared" ref="J120:V120" si="38">SUM(J119,J118,J117,J94,J93,J84,J69)</f>
        <v>68136.540000000008</v>
      </c>
      <c r="K120" s="156">
        <f t="shared" si="38"/>
        <v>48374.54</v>
      </c>
      <c r="L120" s="156">
        <f t="shared" si="38"/>
        <v>51109.54</v>
      </c>
      <c r="M120" s="156">
        <f t="shared" si="38"/>
        <v>51134.54</v>
      </c>
      <c r="N120" s="156">
        <f t="shared" si="38"/>
        <v>51634.54</v>
      </c>
      <c r="O120" s="156">
        <f t="shared" si="38"/>
        <v>52459.54</v>
      </c>
      <c r="P120" s="156">
        <f t="shared" si="38"/>
        <v>51193.54</v>
      </c>
      <c r="Q120" s="156">
        <f t="shared" si="38"/>
        <v>51193.54</v>
      </c>
      <c r="R120" s="156">
        <f t="shared" si="38"/>
        <v>54996.54</v>
      </c>
      <c r="S120" s="156">
        <f t="shared" si="38"/>
        <v>51157.54</v>
      </c>
      <c r="T120" s="156">
        <f t="shared" si="38"/>
        <v>51159.54</v>
      </c>
      <c r="U120" s="156">
        <f t="shared" si="38"/>
        <v>51161</v>
      </c>
      <c r="V120" s="156">
        <f t="shared" si="38"/>
        <v>633710.93999999994</v>
      </c>
      <c r="W120" s="141">
        <f t="shared" si="28"/>
        <v>-0.26000000000931323</v>
      </c>
      <c r="X120" s="148"/>
      <c r="Y120" s="140"/>
    </row>
    <row r="121" spans="1:25" x14ac:dyDescent="0.45">
      <c r="A121" s="42" t="s">
        <v>52</v>
      </c>
      <c r="B121" s="42"/>
      <c r="C121" s="42"/>
      <c r="D121" s="42"/>
      <c r="E121" s="42"/>
      <c r="F121" s="42"/>
      <c r="G121" s="42"/>
      <c r="H121" s="155">
        <f>H27-H120</f>
        <v>-0.19999999995343387</v>
      </c>
      <c r="I121" s="161"/>
      <c r="J121" s="155">
        <f t="shared" ref="J121:V121" si="39">J27-J120</f>
        <v>120806.45999999999</v>
      </c>
      <c r="K121" s="155">
        <f t="shared" si="39"/>
        <v>-13731.54</v>
      </c>
      <c r="L121" s="155">
        <f t="shared" si="39"/>
        <v>-17466.54</v>
      </c>
      <c r="M121" s="155">
        <f t="shared" si="39"/>
        <v>-20391.54</v>
      </c>
      <c r="N121" s="155">
        <f t="shared" si="39"/>
        <v>-12591.54</v>
      </c>
      <c r="O121" s="155">
        <f t="shared" si="39"/>
        <v>2083.4599999999991</v>
      </c>
      <c r="P121" s="155">
        <f t="shared" si="39"/>
        <v>-3349.5400000000009</v>
      </c>
      <c r="Q121" s="155">
        <f t="shared" si="39"/>
        <v>-10349.540000000001</v>
      </c>
      <c r="R121" s="155">
        <f t="shared" si="39"/>
        <v>-855.54000000000087</v>
      </c>
      <c r="S121" s="155">
        <f t="shared" si="39"/>
        <v>-7416.5400000000009</v>
      </c>
      <c r="T121" s="155">
        <f t="shared" si="39"/>
        <v>-16418.54</v>
      </c>
      <c r="U121" s="155">
        <f t="shared" si="39"/>
        <v>-20319</v>
      </c>
      <c r="V121" s="155">
        <f t="shared" si="39"/>
        <v>6.0000000055879354E-2</v>
      </c>
      <c r="W121" s="141">
        <f t="shared" si="28"/>
        <v>0.26000000000931323</v>
      </c>
    </row>
    <row r="122" spans="1:25" s="11" customFormat="1" x14ac:dyDescent="0.45">
      <c r="H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41"/>
      <c r="X122" s="142"/>
      <c r="Y122" s="142"/>
    </row>
    <row r="123" spans="1:25" s="11" customFormat="1" x14ac:dyDescent="0.45">
      <c r="H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41"/>
      <c r="X123" s="142"/>
      <c r="Y123" s="142"/>
    </row>
    <row r="124" spans="1:25" s="11" customFormat="1" x14ac:dyDescent="0.45">
      <c r="H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41"/>
      <c r="X124" s="142"/>
      <c r="Y124" s="142"/>
    </row>
    <row r="125" spans="1:25" s="11" customFormat="1" x14ac:dyDescent="0.45">
      <c r="H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41"/>
      <c r="X125" s="142"/>
      <c r="Y125" s="142"/>
    </row>
    <row r="126" spans="1:25" s="11" customFormat="1" x14ac:dyDescent="0.45">
      <c r="H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41"/>
      <c r="X126" s="142"/>
      <c r="Y126" s="142"/>
    </row>
    <row r="127" spans="1:25" s="11" customFormat="1" x14ac:dyDescent="0.45">
      <c r="H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41"/>
      <c r="X127" s="142"/>
      <c r="Y127" s="142"/>
    </row>
    <row r="128" spans="1:25" s="11" customFormat="1" x14ac:dyDescent="0.45">
      <c r="H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41"/>
      <c r="X128" s="142"/>
      <c r="Y128" s="142"/>
    </row>
    <row r="129" spans="8:25" s="11" customFormat="1" x14ac:dyDescent="0.45">
      <c r="H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41"/>
      <c r="X129" s="142"/>
      <c r="Y129" s="142"/>
    </row>
    <row r="130" spans="8:25" s="11" customFormat="1" x14ac:dyDescent="0.45">
      <c r="H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41"/>
      <c r="X130" s="142"/>
      <c r="Y130" s="142"/>
    </row>
    <row r="131" spans="8:25" s="29" customFormat="1" x14ac:dyDescent="0.45">
      <c r="H131" s="19"/>
      <c r="I131" s="11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41"/>
      <c r="X131" s="142"/>
      <c r="Y131" s="143"/>
    </row>
    <row r="132" spans="8:25" s="29" customFormat="1" x14ac:dyDescent="0.45">
      <c r="H132" s="19"/>
      <c r="I132" s="11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41"/>
      <c r="X132" s="142"/>
      <c r="Y132" s="143"/>
    </row>
    <row r="133" spans="8:25" s="29" customFormat="1" x14ac:dyDescent="0.45">
      <c r="H133" s="19"/>
      <c r="I133" s="11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41"/>
      <c r="X133" s="142"/>
      <c r="Y133" s="143"/>
    </row>
    <row r="134" spans="8:25" s="29" customFormat="1" x14ac:dyDescent="0.45">
      <c r="H134" s="19"/>
      <c r="I134" s="11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41"/>
      <c r="X134" s="142"/>
      <c r="Y134" s="143"/>
    </row>
    <row r="135" spans="8:25" s="29" customFormat="1" x14ac:dyDescent="0.45">
      <c r="H135" s="19"/>
      <c r="I135" s="11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41"/>
      <c r="X135" s="142"/>
      <c r="Y135" s="143"/>
    </row>
    <row r="136" spans="8:25" s="29" customFormat="1" x14ac:dyDescent="0.45">
      <c r="H136" s="19"/>
      <c r="I136" s="11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41"/>
      <c r="X136" s="142"/>
      <c r="Y136" s="143"/>
    </row>
    <row r="137" spans="8:25" s="29" customFormat="1" x14ac:dyDescent="0.45">
      <c r="H137" s="19"/>
      <c r="I137" s="11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41"/>
      <c r="X137" s="142"/>
      <c r="Y137" s="143"/>
    </row>
    <row r="138" spans="8:25" s="29" customFormat="1" x14ac:dyDescent="0.45">
      <c r="H138" s="19"/>
      <c r="I138" s="11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41"/>
      <c r="X138" s="142"/>
      <c r="Y138" s="143"/>
    </row>
    <row r="139" spans="8:25" s="29" customFormat="1" x14ac:dyDescent="0.45">
      <c r="H139" s="19"/>
      <c r="I139" s="11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41"/>
      <c r="X139" s="142"/>
      <c r="Y139" s="143"/>
    </row>
    <row r="140" spans="8:25" s="29" customFormat="1" x14ac:dyDescent="0.45">
      <c r="H140" s="19"/>
      <c r="I140" s="11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41"/>
      <c r="X140" s="142"/>
      <c r="Y140" s="143"/>
    </row>
    <row r="141" spans="8:25" s="29" customFormat="1" x14ac:dyDescent="0.45">
      <c r="H141" s="19"/>
      <c r="I141" s="11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41"/>
      <c r="X141" s="142"/>
      <c r="Y141" s="143"/>
    </row>
    <row r="142" spans="8:25" s="29" customFormat="1" x14ac:dyDescent="0.45">
      <c r="H142" s="19"/>
      <c r="I142" s="11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41"/>
      <c r="X142" s="142"/>
      <c r="Y142" s="143"/>
    </row>
    <row r="143" spans="8:25" s="29" customFormat="1" x14ac:dyDescent="0.45">
      <c r="H143" s="19"/>
      <c r="I143" s="11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41"/>
      <c r="X143" s="142"/>
      <c r="Y143" s="143"/>
    </row>
    <row r="144" spans="8:25" s="29" customFormat="1" x14ac:dyDescent="0.45">
      <c r="H144" s="19"/>
      <c r="I144" s="11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41"/>
      <c r="X144" s="142"/>
      <c r="Y144" s="143"/>
    </row>
  </sheetData>
  <printOptions horizontalCentered="1"/>
  <pageMargins left="0.25" right="0.25" top="0.75" bottom="0.75" header="0.3" footer="0.3"/>
  <pageSetup fitToHeight="0" orientation="portrait" r:id="rId1"/>
  <headerFooter>
    <oddFooter>Page &amp;P of &amp;N</oddFooter>
  </headerFooter>
  <rowBreaks count="2" manualBreakCount="2">
    <brk id="44" max="14" man="1"/>
    <brk id="84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61EE5-BCA6-4250-AD19-6879841E1074}">
  <dimension ref="A1:U62"/>
  <sheetViews>
    <sheetView zoomScale="90" zoomScaleNormal="90" workbookViewId="0">
      <selection activeCell="F30" sqref="F30"/>
    </sheetView>
  </sheetViews>
  <sheetFormatPr defaultColWidth="8.86328125" defaultRowHeight="14.25" x14ac:dyDescent="0.45"/>
  <cols>
    <col min="1" max="1" width="4.46484375" style="29" customWidth="1"/>
    <col min="2" max="2" width="26.6640625" style="11" customWidth="1"/>
    <col min="3" max="9" width="14.33203125" style="11" customWidth="1"/>
    <col min="10" max="10" width="8.86328125" style="29"/>
    <col min="11" max="11" width="10" style="29" bestFit="1" customWidth="1"/>
    <col min="12" max="13" width="8.86328125" style="29"/>
    <col min="14" max="15" width="14.53125" style="29" customWidth="1"/>
    <col min="16" max="18" width="12.19921875" style="29" customWidth="1"/>
    <col min="19" max="20" width="8.86328125" style="29"/>
    <col min="21" max="16384" width="8.86328125" style="11"/>
  </cols>
  <sheetData>
    <row r="1" spans="1:21" s="29" customFormat="1" ht="14.65" thickBot="1" x14ac:dyDescent="0.5">
      <c r="G1" s="38"/>
      <c r="H1" s="38"/>
      <c r="I1" s="38"/>
    </row>
    <row r="2" spans="1:21" s="12" customFormat="1" x14ac:dyDescent="0.45">
      <c r="A2" s="30"/>
      <c r="B2" s="13" t="s">
        <v>48</v>
      </c>
      <c r="C2" s="13" t="s">
        <v>9</v>
      </c>
      <c r="D2" s="72" t="s">
        <v>9</v>
      </c>
      <c r="E2" s="14" t="s">
        <v>10</v>
      </c>
      <c r="F2" s="80" t="s">
        <v>14</v>
      </c>
      <c r="G2" s="14" t="s">
        <v>16</v>
      </c>
      <c r="H2" s="14" t="s">
        <v>16</v>
      </c>
      <c r="I2" s="14" t="s">
        <v>16</v>
      </c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21" s="12" customFormat="1" ht="14.65" thickBot="1" x14ac:dyDescent="0.5">
      <c r="A3" s="30"/>
      <c r="B3" s="15"/>
      <c r="C3" s="15" t="s">
        <v>0</v>
      </c>
      <c r="D3" s="73" t="s">
        <v>7</v>
      </c>
      <c r="E3" s="16" t="s">
        <v>8</v>
      </c>
      <c r="F3" s="81" t="s">
        <v>15</v>
      </c>
      <c r="G3" s="16" t="s">
        <v>17</v>
      </c>
      <c r="H3" s="16" t="s">
        <v>187</v>
      </c>
      <c r="I3" s="16" t="s">
        <v>188</v>
      </c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</row>
    <row r="4" spans="1:21" ht="14.65" thickTop="1" x14ac:dyDescent="0.45">
      <c r="B4" s="17" t="s">
        <v>4</v>
      </c>
      <c r="C4" s="17">
        <v>425466</v>
      </c>
      <c r="D4" s="74">
        <v>420047</v>
      </c>
      <c r="E4" s="18">
        <f>'Cong Approved Budget'!J5</f>
        <v>396854.87</v>
      </c>
      <c r="F4" s="82">
        <v>374400</v>
      </c>
      <c r="G4" s="18">
        <f>F4*1.1</f>
        <v>411840.00000000006</v>
      </c>
      <c r="H4" s="18">
        <f>G4*1.05</f>
        <v>432432.00000000006</v>
      </c>
      <c r="I4" s="18">
        <f>H4*1.05</f>
        <v>454053.60000000009</v>
      </c>
      <c r="J4" s="31"/>
      <c r="T4" s="31"/>
    </row>
    <row r="5" spans="1:21" x14ac:dyDescent="0.45">
      <c r="B5" s="17" t="s">
        <v>1</v>
      </c>
      <c r="C5" s="17">
        <f>6175+30788+21289</f>
        <v>58252</v>
      </c>
      <c r="D5" s="74">
        <v>47442</v>
      </c>
      <c r="E5" s="18">
        <f>SUM('Cong Approved Budget'!J6:J7)</f>
        <v>5739.5</v>
      </c>
      <c r="F5" s="82">
        <v>18255</v>
      </c>
      <c r="G5" s="18">
        <f>F5*1.25</f>
        <v>22818.75</v>
      </c>
      <c r="H5" s="18">
        <f t="shared" ref="H5:I7" si="0">G5*1.05</f>
        <v>23959.6875</v>
      </c>
      <c r="I5" s="18">
        <f t="shared" si="0"/>
        <v>25157.671875</v>
      </c>
      <c r="J5" s="31"/>
      <c r="T5" s="31"/>
    </row>
    <row r="6" spans="1:21" x14ac:dyDescent="0.45">
      <c r="B6" s="17" t="s">
        <v>2</v>
      </c>
      <c r="C6" s="17">
        <v>90562</v>
      </c>
      <c r="D6" s="74">
        <v>92918</v>
      </c>
      <c r="E6" s="18">
        <f>'Cong Approved Budget'!J16</f>
        <v>87682.84</v>
      </c>
      <c r="F6" s="82">
        <v>87578</v>
      </c>
      <c r="G6" s="18">
        <f>F6*1.03</f>
        <v>90205.34</v>
      </c>
      <c r="H6" s="18">
        <f t="shared" si="0"/>
        <v>94715.607000000004</v>
      </c>
      <c r="I6" s="18">
        <f t="shared" si="0"/>
        <v>99451.387350000005</v>
      </c>
      <c r="J6" s="31"/>
      <c r="T6" s="31"/>
    </row>
    <row r="7" spans="1:21" x14ac:dyDescent="0.45">
      <c r="B7" s="17" t="s">
        <v>3</v>
      </c>
      <c r="C7" s="17">
        <f>24722+133+2116</f>
        <v>26971</v>
      </c>
      <c r="D7" s="74">
        <v>18866</v>
      </c>
      <c r="E7" s="18">
        <f>'Cong Approved Budget'!J21</f>
        <v>2072</v>
      </c>
      <c r="F7" s="82">
        <v>1478</v>
      </c>
      <c r="G7" s="18">
        <v>20000</v>
      </c>
      <c r="H7" s="18">
        <f t="shared" si="0"/>
        <v>21000</v>
      </c>
      <c r="I7" s="18">
        <f t="shared" si="0"/>
        <v>22050</v>
      </c>
      <c r="J7" s="31"/>
      <c r="T7" s="31"/>
    </row>
    <row r="8" spans="1:21" x14ac:dyDescent="0.45">
      <c r="B8" s="17" t="s">
        <v>5</v>
      </c>
      <c r="C8" s="17">
        <f>SUM(C9:C12)</f>
        <v>26800</v>
      </c>
      <c r="D8" s="74">
        <f t="shared" ref="D8:F8" si="1">SUM(D9:D12)</f>
        <v>-6000</v>
      </c>
      <c r="E8" s="18">
        <f t="shared" si="1"/>
        <v>38296</v>
      </c>
      <c r="F8" s="82">
        <f t="shared" si="1"/>
        <v>147900</v>
      </c>
      <c r="G8" s="18">
        <f t="shared" ref="G8:I8" si="2">SUM(G9:G12)</f>
        <v>101100</v>
      </c>
      <c r="H8" s="18">
        <f t="shared" si="2"/>
        <v>90000</v>
      </c>
      <c r="I8" s="18">
        <f t="shared" si="2"/>
        <v>75000</v>
      </c>
      <c r="J8" s="31"/>
      <c r="T8" s="31"/>
    </row>
    <row r="9" spans="1:21" s="20" customFormat="1" x14ac:dyDescent="0.45">
      <c r="A9" s="33"/>
      <c r="B9" s="21" t="s">
        <v>11</v>
      </c>
      <c r="C9" s="89">
        <v>26800</v>
      </c>
      <c r="D9" s="75"/>
      <c r="E9" s="22">
        <f>'Cong Approved Budget'!J23</f>
        <v>16234</v>
      </c>
      <c r="F9" s="83">
        <f>-E11</f>
        <v>91000</v>
      </c>
      <c r="G9" s="22">
        <v>21100</v>
      </c>
      <c r="H9" s="22"/>
      <c r="I9" s="22"/>
      <c r="J9" s="32"/>
      <c r="K9" s="33"/>
      <c r="L9" s="33"/>
      <c r="M9" s="33"/>
      <c r="N9" s="33"/>
      <c r="O9" s="33"/>
      <c r="P9" s="33"/>
      <c r="Q9" s="33"/>
      <c r="R9" s="33"/>
      <c r="S9" s="33"/>
      <c r="T9" s="31"/>
    </row>
    <row r="10" spans="1:21" s="20" customFormat="1" x14ac:dyDescent="0.45">
      <c r="A10" s="33"/>
      <c r="B10" s="21" t="s">
        <v>47</v>
      </c>
      <c r="C10" s="89"/>
      <c r="D10" s="75"/>
      <c r="E10" s="22"/>
      <c r="F10" s="84"/>
      <c r="G10" s="71">
        <v>80000</v>
      </c>
      <c r="H10" s="71">
        <v>90000</v>
      </c>
      <c r="I10" s="71">
        <v>75000</v>
      </c>
      <c r="J10" s="32"/>
      <c r="K10" s="33"/>
      <c r="L10" s="33"/>
      <c r="M10" s="33"/>
      <c r="N10" s="33"/>
      <c r="O10" s="33"/>
      <c r="P10" s="33"/>
      <c r="Q10" s="33"/>
      <c r="R10" s="33"/>
      <c r="S10" s="33"/>
      <c r="T10" s="31"/>
    </row>
    <row r="11" spans="1:21" s="20" customFormat="1" x14ac:dyDescent="0.45">
      <c r="A11" s="33"/>
      <c r="B11" s="21" t="s">
        <v>13</v>
      </c>
      <c r="C11" s="89"/>
      <c r="D11" s="75">
        <v>-16000</v>
      </c>
      <c r="E11" s="22">
        <v>-91000</v>
      </c>
      <c r="F11" s="83">
        <f>-G9</f>
        <v>-21100</v>
      </c>
      <c r="G11" s="22">
        <v>0</v>
      </c>
      <c r="H11" s="22">
        <v>0</v>
      </c>
      <c r="I11" s="22">
        <v>0</v>
      </c>
      <c r="J11" s="32"/>
      <c r="K11" s="33"/>
      <c r="L11" s="33"/>
      <c r="M11" s="33"/>
      <c r="N11" s="33"/>
      <c r="O11" s="33"/>
      <c r="P11" s="33"/>
      <c r="Q11" s="33"/>
      <c r="R11" s="33"/>
      <c r="S11" s="33"/>
      <c r="T11" s="31"/>
    </row>
    <row r="12" spans="1:21" s="20" customFormat="1" x14ac:dyDescent="0.45">
      <c r="A12" s="33"/>
      <c r="B12" s="21" t="s">
        <v>12</v>
      </c>
      <c r="C12" s="89"/>
      <c r="D12" s="75">
        <v>10000</v>
      </c>
      <c r="E12" s="22">
        <f>'Cong Approved Budget'!J25+'Cong Approved Budget'!J8</f>
        <v>113062</v>
      </c>
      <c r="F12" s="83">
        <v>78000</v>
      </c>
      <c r="G12" s="22">
        <v>0</v>
      </c>
      <c r="H12" s="22">
        <v>0</v>
      </c>
      <c r="I12" s="22">
        <v>0</v>
      </c>
      <c r="J12" s="32"/>
      <c r="K12" s="33"/>
      <c r="L12" s="33"/>
      <c r="M12" s="33"/>
      <c r="N12" s="33"/>
      <c r="O12" s="33"/>
      <c r="P12" s="33"/>
      <c r="Q12" s="33"/>
      <c r="R12" s="33"/>
      <c r="S12" s="33"/>
      <c r="T12" s="31"/>
    </row>
    <row r="13" spans="1:21" ht="14.65" thickBot="1" x14ac:dyDescent="0.5">
      <c r="B13" s="17" t="s">
        <v>6</v>
      </c>
      <c r="C13" s="90">
        <f t="shared" ref="C13:I13" si="3">SUM(C4:C8)</f>
        <v>628051</v>
      </c>
      <c r="D13" s="76">
        <f t="shared" si="3"/>
        <v>573273</v>
      </c>
      <c r="E13" s="23">
        <f t="shared" si="3"/>
        <v>530645.21</v>
      </c>
      <c r="F13" s="85">
        <f t="shared" si="3"/>
        <v>629611</v>
      </c>
      <c r="G13" s="23">
        <f t="shared" si="3"/>
        <v>645964.09000000008</v>
      </c>
      <c r="H13" s="23">
        <f t="shared" si="3"/>
        <v>662107.29450000008</v>
      </c>
      <c r="I13" s="23">
        <f t="shared" si="3"/>
        <v>675712.65922500007</v>
      </c>
      <c r="J13" s="31"/>
      <c r="T13" s="31"/>
      <c r="U13" s="20"/>
    </row>
    <row r="14" spans="1:21" ht="14.65" thickTop="1" x14ac:dyDescent="0.45">
      <c r="B14" s="17"/>
      <c r="C14" s="17"/>
      <c r="D14" s="74"/>
      <c r="E14" s="18"/>
      <c r="F14" s="82"/>
      <c r="G14" s="18"/>
      <c r="H14" s="18"/>
      <c r="I14" s="18"/>
      <c r="J14" s="31"/>
      <c r="T14" s="31"/>
    </row>
    <row r="15" spans="1:21" x14ac:dyDescent="0.45">
      <c r="B15" s="17" t="s">
        <v>26</v>
      </c>
      <c r="C15" s="17">
        <f t="shared" ref="C15:I15" si="4">C32</f>
        <v>611700</v>
      </c>
      <c r="D15" s="74">
        <f t="shared" si="4"/>
        <v>601000</v>
      </c>
      <c r="E15" s="18">
        <f t="shared" si="4"/>
        <v>530626.44215999998</v>
      </c>
      <c r="F15" s="82">
        <f t="shared" si="4"/>
        <v>629611</v>
      </c>
      <c r="G15" s="18">
        <f t="shared" si="4"/>
        <v>645963.88</v>
      </c>
      <c r="H15" s="18">
        <f t="shared" si="4"/>
        <v>662106.81579999998</v>
      </c>
      <c r="I15" s="18">
        <f t="shared" si="4"/>
        <v>680270.62027399999</v>
      </c>
      <c r="J15" s="31"/>
      <c r="T15" s="31"/>
    </row>
    <row r="16" spans="1:21" ht="14.65" thickBot="1" x14ac:dyDescent="0.5">
      <c r="B16" s="24" t="s">
        <v>29</v>
      </c>
      <c r="C16" s="24">
        <f t="shared" ref="C16:I16" si="5">C13-C15</f>
        <v>16351</v>
      </c>
      <c r="D16" s="77">
        <f t="shared" si="5"/>
        <v>-27727</v>
      </c>
      <c r="E16" s="25">
        <f t="shared" si="5"/>
        <v>18.767839999985881</v>
      </c>
      <c r="F16" s="86">
        <f t="shared" si="5"/>
        <v>0</v>
      </c>
      <c r="G16" s="25">
        <f t="shared" si="5"/>
        <v>0.21000000007916242</v>
      </c>
      <c r="H16" s="25">
        <f t="shared" si="5"/>
        <v>0.47870000009424984</v>
      </c>
      <c r="I16" s="25">
        <f t="shared" si="5"/>
        <v>-4557.9610489999177</v>
      </c>
      <c r="J16" s="31"/>
      <c r="T16" s="31"/>
    </row>
    <row r="17" spans="1:20" ht="14.65" thickBot="1" x14ac:dyDescent="0.5">
      <c r="B17" s="17"/>
      <c r="C17" s="17"/>
      <c r="D17" s="74"/>
      <c r="E17" s="18"/>
      <c r="F17" s="82"/>
      <c r="G17" s="18"/>
      <c r="H17" s="19"/>
      <c r="I17" s="19"/>
      <c r="J17" s="31"/>
      <c r="T17" s="31"/>
    </row>
    <row r="18" spans="1:20" x14ac:dyDescent="0.45">
      <c r="B18" s="13" t="s">
        <v>49</v>
      </c>
      <c r="C18" s="13" t="s">
        <v>9</v>
      </c>
      <c r="D18" s="72" t="s">
        <v>9</v>
      </c>
      <c r="E18" s="14" t="s">
        <v>10</v>
      </c>
      <c r="F18" s="80" t="s">
        <v>14</v>
      </c>
      <c r="G18" s="14" t="s">
        <v>16</v>
      </c>
      <c r="H18" s="14" t="s">
        <v>16</v>
      </c>
      <c r="I18" s="14" t="s">
        <v>16</v>
      </c>
      <c r="J18" s="31"/>
      <c r="K18" s="32"/>
      <c r="L18" s="31"/>
      <c r="M18" s="31"/>
      <c r="N18" s="31"/>
      <c r="O18" s="31"/>
      <c r="P18" s="31"/>
      <c r="Q18" s="31"/>
      <c r="R18" s="31">
        <f>I13</f>
        <v>675712.65922500007</v>
      </c>
      <c r="S18" s="31"/>
      <c r="T18" s="31"/>
    </row>
    <row r="19" spans="1:20" ht="14.65" thickBot="1" x14ac:dyDescent="0.5">
      <c r="B19" s="15"/>
      <c r="C19" s="15" t="s">
        <v>0</v>
      </c>
      <c r="D19" s="73" t="s">
        <v>7</v>
      </c>
      <c r="E19" s="16" t="s">
        <v>8</v>
      </c>
      <c r="F19" s="81" t="s">
        <v>15</v>
      </c>
      <c r="G19" s="16" t="s">
        <v>17</v>
      </c>
      <c r="H19" s="16" t="s">
        <v>17</v>
      </c>
      <c r="I19" s="16" t="s">
        <v>17</v>
      </c>
      <c r="J19" s="31"/>
      <c r="K19" s="32"/>
      <c r="L19" s="31"/>
      <c r="M19" s="31"/>
      <c r="N19" s="31"/>
      <c r="O19" s="31"/>
      <c r="P19" s="31"/>
      <c r="Q19" s="31"/>
      <c r="R19" s="31">
        <f>R18-I32</f>
        <v>-4557.9610489999177</v>
      </c>
      <c r="S19" s="31"/>
      <c r="T19" s="31"/>
    </row>
    <row r="20" spans="1:20" ht="14.65" thickTop="1" x14ac:dyDescent="0.45">
      <c r="A20" s="37"/>
      <c r="B20" s="21" t="s">
        <v>18</v>
      </c>
      <c r="C20" s="89">
        <v>62500</v>
      </c>
      <c r="D20" s="75">
        <v>62500</v>
      </c>
      <c r="E20" s="22">
        <f>SUM('Cong Approved Budget'!J118:J119)</f>
        <v>62478.479999999996</v>
      </c>
      <c r="F20" s="83">
        <v>62480</v>
      </c>
      <c r="G20" s="22">
        <f>F20</f>
        <v>62480</v>
      </c>
      <c r="H20" s="22">
        <f>G20</f>
        <v>62480</v>
      </c>
      <c r="I20" s="22">
        <f>F20</f>
        <v>62480</v>
      </c>
      <c r="J20" s="30"/>
      <c r="K20" s="32"/>
      <c r="L20" s="31"/>
      <c r="M20" s="31"/>
      <c r="N20" s="31"/>
      <c r="O20" s="31"/>
      <c r="P20" s="31"/>
      <c r="Q20" s="31"/>
      <c r="R20" s="31"/>
      <c r="S20" s="31"/>
      <c r="T20" s="31"/>
    </row>
    <row r="21" spans="1:20" x14ac:dyDescent="0.45">
      <c r="B21" s="21" t="s">
        <v>19</v>
      </c>
      <c r="C21" s="89">
        <v>35700</v>
      </c>
      <c r="D21" s="75">
        <v>36000</v>
      </c>
      <c r="E21" s="22">
        <f>'Cong Approved Budget'!J83</f>
        <v>38380.619999999995</v>
      </c>
      <c r="F21" s="83">
        <v>37223</v>
      </c>
      <c r="G21" s="22">
        <v>39000</v>
      </c>
      <c r="H21" s="22">
        <v>40000</v>
      </c>
      <c r="I21" s="22">
        <v>41000</v>
      </c>
      <c r="J21" s="30"/>
      <c r="K21" s="32"/>
      <c r="L21" s="31"/>
      <c r="M21" s="31"/>
      <c r="O21" s="33"/>
    </row>
    <row r="22" spans="1:20" x14ac:dyDescent="0.45">
      <c r="B22" s="21" t="s">
        <v>20</v>
      </c>
      <c r="C22" s="89">
        <v>24000</v>
      </c>
      <c r="D22" s="75">
        <v>39200</v>
      </c>
      <c r="E22" s="22">
        <f>SUM('Cong Approved Budget'!J71:J76)</f>
        <v>32137.78</v>
      </c>
      <c r="F22" s="83">
        <v>39000</v>
      </c>
      <c r="G22" s="22">
        <v>41000</v>
      </c>
      <c r="H22" s="22">
        <v>41000</v>
      </c>
      <c r="I22" s="22">
        <v>41000</v>
      </c>
      <c r="J22" s="31"/>
      <c r="K22" s="31"/>
      <c r="L22" s="31"/>
      <c r="M22" s="31"/>
    </row>
    <row r="23" spans="1:20" x14ac:dyDescent="0.45">
      <c r="B23" s="21" t="s">
        <v>21</v>
      </c>
      <c r="C23" s="91">
        <v>29200</v>
      </c>
      <c r="D23" s="78">
        <v>31700</v>
      </c>
      <c r="E23" s="26">
        <v>26177</v>
      </c>
      <c r="F23" s="87">
        <v>28000</v>
      </c>
      <c r="G23" s="26">
        <v>32000</v>
      </c>
      <c r="H23" s="26">
        <v>32500</v>
      </c>
      <c r="I23" s="26">
        <v>33000</v>
      </c>
      <c r="J23" s="31"/>
      <c r="K23" s="31"/>
      <c r="L23" s="34"/>
      <c r="M23" s="31"/>
      <c r="O23" s="31"/>
    </row>
    <row r="24" spans="1:20" x14ac:dyDescent="0.45">
      <c r="B24" s="17" t="s">
        <v>22</v>
      </c>
      <c r="C24" s="17">
        <f t="shared" ref="C24:E24" si="6">SUM(C20:C23)</f>
        <v>151400</v>
      </c>
      <c r="D24" s="74">
        <f t="shared" si="6"/>
        <v>169400</v>
      </c>
      <c r="E24" s="18">
        <f t="shared" si="6"/>
        <v>159173.88</v>
      </c>
      <c r="F24" s="82">
        <f>SUM(F20:F23)</f>
        <v>166703</v>
      </c>
      <c r="G24" s="18">
        <f t="shared" ref="G24:I24" si="7">SUM(G20:G23)</f>
        <v>174480</v>
      </c>
      <c r="H24" s="18">
        <f t="shared" ref="H24" si="8">SUM(H20:H23)</f>
        <v>175980</v>
      </c>
      <c r="I24" s="18">
        <f t="shared" si="7"/>
        <v>177480</v>
      </c>
      <c r="J24" s="31"/>
      <c r="K24" s="31"/>
      <c r="L24" s="34"/>
      <c r="M24" s="31"/>
      <c r="O24" s="31"/>
    </row>
    <row r="25" spans="1:20" x14ac:dyDescent="0.45">
      <c r="B25" s="17" t="s">
        <v>25</v>
      </c>
      <c r="C25" s="17">
        <v>373500</v>
      </c>
      <c r="D25" s="74">
        <v>368200</v>
      </c>
      <c r="E25" s="18">
        <f>'Cong Approved Budget'!J69</f>
        <v>341248.39715999999</v>
      </c>
      <c r="F25" s="82">
        <v>392172</v>
      </c>
      <c r="G25" s="18">
        <f>(F25*1.04)-375</f>
        <v>407483.88</v>
      </c>
      <c r="H25" s="18">
        <f>(G25*1.035)+381</f>
        <v>422126.81579999998</v>
      </c>
      <c r="I25" s="18">
        <f>H25*1.03</f>
        <v>434790.62027399999</v>
      </c>
      <c r="J25" s="31"/>
      <c r="K25" s="31"/>
      <c r="L25" s="34"/>
      <c r="M25" s="31"/>
      <c r="O25" s="31"/>
    </row>
    <row r="26" spans="1:20" x14ac:dyDescent="0.45">
      <c r="B26" s="17"/>
      <c r="C26" s="17"/>
      <c r="D26" s="74"/>
      <c r="E26" s="18"/>
      <c r="F26" s="82"/>
      <c r="G26" s="18"/>
      <c r="H26" s="18"/>
      <c r="I26" s="18"/>
      <c r="J26" s="31"/>
      <c r="K26" s="31"/>
      <c r="L26" s="34"/>
      <c r="M26" s="31"/>
      <c r="O26" s="31"/>
    </row>
    <row r="27" spans="1:20" x14ac:dyDescent="0.45">
      <c r="B27" s="17" t="s">
        <v>28</v>
      </c>
      <c r="C27" s="17">
        <v>0</v>
      </c>
      <c r="D27" s="74">
        <v>0</v>
      </c>
      <c r="E27" s="18">
        <v>0</v>
      </c>
      <c r="F27" s="82">
        <v>19762</v>
      </c>
      <c r="G27" s="18">
        <v>0</v>
      </c>
      <c r="H27" s="18">
        <v>0</v>
      </c>
      <c r="I27" s="18">
        <v>0</v>
      </c>
      <c r="J27" s="31"/>
      <c r="K27" s="31"/>
      <c r="L27" s="34"/>
      <c r="M27" s="31"/>
      <c r="O27" s="31"/>
    </row>
    <row r="28" spans="1:20" x14ac:dyDescent="0.45">
      <c r="B28" s="17" t="s">
        <v>27</v>
      </c>
      <c r="C28" s="17">
        <v>12000</v>
      </c>
      <c r="D28" s="74">
        <v>0</v>
      </c>
      <c r="E28" s="18">
        <v>0</v>
      </c>
      <c r="F28" s="82"/>
      <c r="G28" s="18">
        <f>F28*1.1</f>
        <v>0</v>
      </c>
      <c r="H28" s="18">
        <f>G28*1.1</f>
        <v>0</v>
      </c>
      <c r="I28" s="18">
        <f>F28*1.1</f>
        <v>0</v>
      </c>
      <c r="J28" s="31"/>
      <c r="K28" s="31"/>
      <c r="L28" s="34"/>
      <c r="M28" s="31"/>
      <c r="O28" s="31"/>
    </row>
    <row r="29" spans="1:20" x14ac:dyDescent="0.45">
      <c r="B29" s="17" t="s">
        <v>23</v>
      </c>
      <c r="C29" s="17">
        <v>32200</v>
      </c>
      <c r="D29" s="74">
        <v>28800</v>
      </c>
      <c r="E29" s="18">
        <f>'Cong Approved Budget'!J93</f>
        <v>23695.83</v>
      </c>
      <c r="F29" s="82">
        <v>24539</v>
      </c>
      <c r="G29" s="18">
        <v>32000</v>
      </c>
      <c r="H29" s="18">
        <v>32000</v>
      </c>
      <c r="I29" s="18">
        <v>34000</v>
      </c>
      <c r="J29" s="31"/>
      <c r="K29" s="31"/>
      <c r="L29" s="34"/>
      <c r="M29" s="31"/>
      <c r="O29" s="31"/>
    </row>
    <row r="30" spans="1:20" x14ac:dyDescent="0.45">
      <c r="B30" s="17" t="s">
        <v>24</v>
      </c>
      <c r="C30" s="17">
        <v>42600</v>
      </c>
      <c r="D30" s="74">
        <f>6600+28000</f>
        <v>34600</v>
      </c>
      <c r="E30" s="18">
        <f>'Cong Approved Budget'!J117</f>
        <v>6508.3350000000009</v>
      </c>
      <c r="F30" s="82">
        <v>26435</v>
      </c>
      <c r="G30" s="18">
        <v>32000</v>
      </c>
      <c r="H30" s="18">
        <v>32000</v>
      </c>
      <c r="I30" s="18">
        <v>34000</v>
      </c>
      <c r="J30" s="31"/>
      <c r="K30" s="31"/>
      <c r="L30" s="34"/>
      <c r="M30" s="31"/>
      <c r="O30" s="31"/>
    </row>
    <row r="31" spans="1:20" x14ac:dyDescent="0.45">
      <c r="B31" s="17"/>
      <c r="C31" s="17"/>
      <c r="D31" s="74"/>
      <c r="E31" s="18"/>
      <c r="F31" s="82"/>
      <c r="G31" s="18"/>
      <c r="H31" s="18"/>
      <c r="I31" s="18"/>
      <c r="J31" s="31"/>
      <c r="K31" s="31"/>
      <c r="L31" s="34"/>
      <c r="M31" s="31"/>
      <c r="O31" s="31"/>
    </row>
    <row r="32" spans="1:20" ht="14.65" thickBot="1" x14ac:dyDescent="0.5">
      <c r="B32" s="27" t="s">
        <v>26</v>
      </c>
      <c r="C32" s="27">
        <f t="shared" ref="C32:I32" si="9">SUM(C24:C30)</f>
        <v>611700</v>
      </c>
      <c r="D32" s="79">
        <f t="shared" si="9"/>
        <v>601000</v>
      </c>
      <c r="E32" s="28">
        <f t="shared" si="9"/>
        <v>530626.44215999998</v>
      </c>
      <c r="F32" s="88">
        <f t="shared" si="9"/>
        <v>629611</v>
      </c>
      <c r="G32" s="28">
        <f t="shared" si="9"/>
        <v>645963.88</v>
      </c>
      <c r="H32" s="28">
        <f t="shared" si="9"/>
        <v>662106.81579999998</v>
      </c>
      <c r="I32" s="28">
        <f t="shared" si="9"/>
        <v>680270.62027399999</v>
      </c>
      <c r="J32" s="31"/>
      <c r="K32" s="31"/>
      <c r="L32" s="34"/>
      <c r="M32" s="31"/>
      <c r="O32" s="31"/>
    </row>
    <row r="33" spans="2:15" s="29" customFormat="1" x14ac:dyDescent="0.45">
      <c r="B33" s="29" t="s">
        <v>14</v>
      </c>
      <c r="E33" s="138">
        <v>594446</v>
      </c>
      <c r="J33" s="31"/>
      <c r="K33" s="31"/>
      <c r="L33" s="34"/>
      <c r="M33" s="31"/>
      <c r="O33" s="31"/>
    </row>
    <row r="34" spans="2:15" s="29" customFormat="1" x14ac:dyDescent="0.45">
      <c r="J34" s="31"/>
      <c r="K34" s="31"/>
      <c r="L34" s="34"/>
      <c r="M34" s="31"/>
      <c r="O34" s="31"/>
    </row>
    <row r="35" spans="2:15" s="29" customFormat="1" x14ac:dyDescent="0.45">
      <c r="G35" s="31"/>
      <c r="H35" s="31"/>
      <c r="I35" s="31"/>
      <c r="J35" s="31"/>
      <c r="K35" s="31"/>
      <c r="L35" s="34"/>
      <c r="M35" s="31"/>
      <c r="O35" s="31"/>
    </row>
    <row r="36" spans="2:15" s="29" customFormat="1" x14ac:dyDescent="0.45">
      <c r="J36" s="31"/>
      <c r="K36" s="31"/>
      <c r="L36" s="34"/>
      <c r="M36" s="31"/>
      <c r="O36" s="31"/>
    </row>
    <row r="37" spans="2:15" s="29" customFormat="1" x14ac:dyDescent="0.45">
      <c r="K37" s="31"/>
      <c r="L37" s="34"/>
      <c r="M37" s="31"/>
      <c r="O37" s="31"/>
    </row>
    <row r="38" spans="2:15" s="29" customFormat="1" x14ac:dyDescent="0.45">
      <c r="K38" s="31"/>
      <c r="L38" s="34"/>
      <c r="M38" s="31"/>
      <c r="O38" s="31"/>
    </row>
    <row r="39" spans="2:15" s="29" customFormat="1" x14ac:dyDescent="0.45">
      <c r="K39" s="31"/>
      <c r="L39" s="34"/>
      <c r="M39" s="31"/>
      <c r="O39" s="31"/>
    </row>
    <row r="40" spans="2:15" s="29" customFormat="1" x14ac:dyDescent="0.45">
      <c r="K40" s="31"/>
      <c r="L40" s="34"/>
      <c r="M40" s="31"/>
      <c r="O40" s="31"/>
    </row>
    <row r="41" spans="2:15" s="29" customFormat="1" x14ac:dyDescent="0.45">
      <c r="K41" s="31"/>
      <c r="L41" s="34"/>
      <c r="M41" s="31"/>
      <c r="O41" s="31"/>
    </row>
    <row r="42" spans="2:15" s="29" customFormat="1" x14ac:dyDescent="0.45">
      <c r="K42" s="31"/>
      <c r="L42" s="34"/>
      <c r="M42" s="31"/>
      <c r="O42" s="31"/>
    </row>
    <row r="43" spans="2:15" s="29" customFormat="1" x14ac:dyDescent="0.45">
      <c r="K43" s="31"/>
      <c r="L43" s="34"/>
      <c r="M43" s="31"/>
      <c r="O43" s="31"/>
    </row>
    <row r="44" spans="2:15" s="29" customFormat="1" x14ac:dyDescent="0.45">
      <c r="K44" s="31"/>
      <c r="L44" s="34"/>
      <c r="M44" s="31"/>
      <c r="O44" s="31"/>
    </row>
    <row r="45" spans="2:15" s="29" customFormat="1" x14ac:dyDescent="0.45">
      <c r="K45" s="31"/>
      <c r="L45" s="34"/>
      <c r="M45" s="31"/>
      <c r="O45" s="31"/>
    </row>
    <row r="46" spans="2:15" s="29" customFormat="1" x14ac:dyDescent="0.45">
      <c r="K46" s="31"/>
      <c r="L46" s="34"/>
      <c r="M46" s="31"/>
      <c r="O46" s="31"/>
    </row>
    <row r="47" spans="2:15" s="29" customFormat="1" x14ac:dyDescent="0.45">
      <c r="K47" s="31"/>
      <c r="L47" s="34"/>
      <c r="M47" s="31"/>
      <c r="O47" s="31"/>
    </row>
    <row r="48" spans="2:15" s="29" customFormat="1" x14ac:dyDescent="0.45">
      <c r="K48" s="31"/>
      <c r="L48" s="34"/>
      <c r="M48" s="31"/>
      <c r="O48" s="31"/>
    </row>
    <row r="49" spans="11:15" s="29" customFormat="1" x14ac:dyDescent="0.45">
      <c r="K49" s="31"/>
      <c r="L49" s="34"/>
      <c r="M49" s="31"/>
      <c r="O49" s="31"/>
    </row>
    <row r="50" spans="11:15" s="29" customFormat="1" x14ac:dyDescent="0.45">
      <c r="K50" s="31"/>
      <c r="L50" s="34"/>
      <c r="M50" s="31"/>
      <c r="O50" s="31"/>
    </row>
    <row r="51" spans="11:15" s="29" customFormat="1" x14ac:dyDescent="0.45"/>
    <row r="52" spans="11:15" s="29" customFormat="1" x14ac:dyDescent="0.45"/>
    <row r="53" spans="11:15" s="29" customFormat="1" x14ac:dyDescent="0.45"/>
    <row r="54" spans="11:15" s="29" customFormat="1" x14ac:dyDescent="0.45">
      <c r="N54" s="35"/>
      <c r="O54" s="35"/>
    </row>
    <row r="55" spans="11:15" x14ac:dyDescent="0.45">
      <c r="N55" s="35"/>
      <c r="O55" s="36"/>
    </row>
    <row r="56" spans="11:15" x14ac:dyDescent="0.45">
      <c r="N56" s="35"/>
      <c r="O56" s="35"/>
    </row>
    <row r="57" spans="11:15" x14ac:dyDescent="0.45">
      <c r="N57" s="35"/>
      <c r="O57" s="35"/>
    </row>
    <row r="58" spans="11:15" x14ac:dyDescent="0.45">
      <c r="N58" s="35"/>
      <c r="O58" s="35"/>
    </row>
    <row r="59" spans="11:15" x14ac:dyDescent="0.45">
      <c r="N59" s="35"/>
      <c r="O59" s="35"/>
    </row>
    <row r="60" spans="11:15" x14ac:dyDescent="0.45">
      <c r="N60" s="35"/>
      <c r="O60" s="35"/>
    </row>
    <row r="61" spans="11:15" x14ac:dyDescent="0.45">
      <c r="N61" s="35"/>
      <c r="O61" s="35"/>
    </row>
    <row r="62" spans="11:15" x14ac:dyDescent="0.45">
      <c r="N62" s="35"/>
      <c r="O62" s="3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2E068-195E-44D8-B77D-EFF4A51981B0}">
  <dimension ref="A1:Q20"/>
  <sheetViews>
    <sheetView workbookViewId="0">
      <selection activeCell="P13" sqref="E13:P13"/>
    </sheetView>
  </sheetViews>
  <sheetFormatPr defaultRowHeight="14.25" x14ac:dyDescent="0.45"/>
  <cols>
    <col min="5" max="5" width="10.3984375" bestFit="1" customWidth="1"/>
    <col min="6" max="16" width="9.796875" bestFit="1" customWidth="1"/>
    <col min="17" max="17" width="10.73046875" bestFit="1" customWidth="1"/>
  </cols>
  <sheetData>
    <row r="1" spans="1:17" s="171" customFormat="1" x14ac:dyDescent="0.45">
      <c r="A1" s="55"/>
      <c r="B1" s="55"/>
      <c r="C1" s="55"/>
      <c r="D1" s="55"/>
      <c r="E1" s="172" t="s">
        <v>205</v>
      </c>
      <c r="F1" s="172" t="s">
        <v>206</v>
      </c>
      <c r="G1" s="172" t="s">
        <v>207</v>
      </c>
      <c r="H1" s="172" t="s">
        <v>208</v>
      </c>
      <c r="I1" s="172" t="s">
        <v>209</v>
      </c>
      <c r="J1" s="172" t="s">
        <v>210</v>
      </c>
      <c r="K1" s="172" t="s">
        <v>211</v>
      </c>
      <c r="L1" s="172" t="s">
        <v>212</v>
      </c>
      <c r="M1" s="172" t="s">
        <v>213</v>
      </c>
      <c r="N1" s="172" t="s">
        <v>214</v>
      </c>
      <c r="O1" s="172" t="s">
        <v>215</v>
      </c>
      <c r="P1" s="172" t="s">
        <v>216</v>
      </c>
      <c r="Q1" s="172" t="s">
        <v>217</v>
      </c>
    </row>
    <row r="2" spans="1:17" s="175" customFormat="1" ht="11.65" x14ac:dyDescent="0.35">
      <c r="A2" s="173"/>
      <c r="B2" s="173" t="s">
        <v>220</v>
      </c>
      <c r="C2" s="173" t="s">
        <v>218</v>
      </c>
      <c r="D2" s="173"/>
      <c r="E2" s="174">
        <v>29346.84</v>
      </c>
      <c r="F2" s="174">
        <v>31241.54</v>
      </c>
      <c r="G2" s="174">
        <v>25802.14</v>
      </c>
      <c r="H2" s="174">
        <v>35227.17</v>
      </c>
      <c r="I2" s="174">
        <v>28071.35</v>
      </c>
      <c r="J2" s="174">
        <v>91753.38</v>
      </c>
      <c r="K2" s="174">
        <v>38288.67</v>
      </c>
      <c r="L2" s="174">
        <v>29426</v>
      </c>
      <c r="M2" s="174">
        <v>35314.089999999997</v>
      </c>
      <c r="N2" s="174">
        <v>35838.26</v>
      </c>
      <c r="O2" s="174">
        <v>24731</v>
      </c>
      <c r="P2" s="174">
        <v>22892.34</v>
      </c>
      <c r="Q2" s="174">
        <v>427932.78</v>
      </c>
    </row>
    <row r="3" spans="1:17" s="175" customFormat="1" ht="11.65" x14ac:dyDescent="0.35">
      <c r="A3" s="173"/>
      <c r="B3" s="173" t="s">
        <v>219</v>
      </c>
      <c r="C3" s="173" t="s">
        <v>218</v>
      </c>
      <c r="D3" s="173"/>
      <c r="E3" s="174">
        <v>32548.43</v>
      </c>
      <c r="F3" s="174">
        <v>20496</v>
      </c>
      <c r="G3" s="174">
        <v>30972.44</v>
      </c>
      <c r="H3" s="174">
        <v>22132.67</v>
      </c>
      <c r="I3" s="174">
        <v>39123</v>
      </c>
      <c r="J3" s="174">
        <v>50757.8</v>
      </c>
      <c r="K3" s="174">
        <v>37248</v>
      </c>
      <c r="L3" s="174">
        <v>44809.67</v>
      </c>
      <c r="M3" s="174">
        <v>49198.42</v>
      </c>
      <c r="N3" s="174">
        <v>51073.45</v>
      </c>
      <c r="O3" s="174">
        <v>25578.11</v>
      </c>
      <c r="P3" s="174">
        <v>21527.58</v>
      </c>
      <c r="Q3" s="174">
        <v>425465.57</v>
      </c>
    </row>
    <row r="4" spans="1:17" s="175" customFormat="1" ht="11.65" x14ac:dyDescent="0.35">
      <c r="A4" s="173"/>
      <c r="B4" s="173" t="s">
        <v>221</v>
      </c>
      <c r="C4" s="173" t="s">
        <v>218</v>
      </c>
      <c r="D4" s="173"/>
      <c r="E4" s="174">
        <v>35007.67</v>
      </c>
      <c r="F4" s="174">
        <v>27766</v>
      </c>
      <c r="G4" s="174">
        <v>32639.34</v>
      </c>
      <c r="H4" s="174">
        <v>26780</v>
      </c>
      <c r="I4" s="174">
        <v>43849.34</v>
      </c>
      <c r="J4" s="174">
        <v>33111.339999999997</v>
      </c>
      <c r="K4" s="174">
        <v>46169.79</v>
      </c>
      <c r="L4" s="174">
        <v>39332.870000000003</v>
      </c>
      <c r="M4" s="174">
        <v>43557.77</v>
      </c>
      <c r="N4" s="174">
        <v>33496</v>
      </c>
      <c r="O4" s="174">
        <v>33330.99</v>
      </c>
      <c r="P4" s="174">
        <v>25005.9</v>
      </c>
      <c r="Q4" s="174">
        <v>420047.01</v>
      </c>
    </row>
    <row r="5" spans="1:17" s="175" customFormat="1" ht="11.65" x14ac:dyDescent="0.35">
      <c r="A5" s="173"/>
      <c r="B5" s="173" t="s">
        <v>222</v>
      </c>
      <c r="C5" s="173" t="s">
        <v>218</v>
      </c>
      <c r="D5" s="173"/>
      <c r="E5" s="174">
        <v>31666.32</v>
      </c>
      <c r="F5" s="174">
        <v>33603.980000000003</v>
      </c>
      <c r="G5" s="174">
        <v>25937</v>
      </c>
      <c r="H5" s="174">
        <v>20336.990000000002</v>
      </c>
      <c r="I5" s="174">
        <v>30529.66</v>
      </c>
      <c r="J5" s="174">
        <v>42417.440000000002</v>
      </c>
      <c r="K5" s="174">
        <v>50288.91</v>
      </c>
      <c r="L5" s="174">
        <v>34355.57</v>
      </c>
      <c r="M5" s="174">
        <v>65297.66</v>
      </c>
      <c r="N5" s="174">
        <v>39250.32</v>
      </c>
      <c r="O5" s="174">
        <v>31850.87</v>
      </c>
      <c r="P5" s="176">
        <v>28000</v>
      </c>
      <c r="Q5" s="174">
        <v>405534.71999999997</v>
      </c>
    </row>
    <row r="6" spans="1:17" s="175" customFormat="1" ht="11.65" x14ac:dyDescent="0.35">
      <c r="A6" s="173"/>
      <c r="B6" s="173" t="s">
        <v>222</v>
      </c>
      <c r="C6" s="173" t="s">
        <v>218</v>
      </c>
      <c r="D6" s="173"/>
      <c r="E6" s="174">
        <v>31666.32</v>
      </c>
      <c r="F6" s="174">
        <v>33603.980000000003</v>
      </c>
      <c r="G6" s="174">
        <v>25937</v>
      </c>
      <c r="H6" s="174">
        <v>20336.990000000002</v>
      </c>
      <c r="I6" s="174">
        <v>30529.66</v>
      </c>
      <c r="J6" s="174">
        <v>42417.440000000002</v>
      </c>
      <c r="K6" s="174">
        <v>50288.91</v>
      </c>
      <c r="L6" s="174">
        <v>34355.57</v>
      </c>
      <c r="M6" s="174">
        <v>65297.66</v>
      </c>
      <c r="N6" s="174">
        <v>39250.32</v>
      </c>
      <c r="O6" s="174">
        <v>31850.87</v>
      </c>
      <c r="P6" s="176">
        <v>28000</v>
      </c>
      <c r="Q6" s="174">
        <v>405534.71999999997</v>
      </c>
    </row>
    <row r="7" spans="1:17" s="175" customFormat="1" ht="11.65" x14ac:dyDescent="0.35"/>
    <row r="8" spans="1:17" s="175" customFormat="1" ht="11.65" x14ac:dyDescent="0.35">
      <c r="E8" s="175">
        <f>SUM(E2:E6)</f>
        <v>160235.58000000002</v>
      </c>
      <c r="F8" s="175">
        <f t="shared" ref="F8:P8" si="0">SUM(F2:F6)</f>
        <v>146711.50000000003</v>
      </c>
      <c r="G8" s="175">
        <f t="shared" si="0"/>
        <v>141287.91999999998</v>
      </c>
      <c r="H8" s="175">
        <f t="shared" si="0"/>
        <v>124813.82</v>
      </c>
      <c r="I8" s="175">
        <f t="shared" si="0"/>
        <v>172103.01</v>
      </c>
      <c r="J8" s="175">
        <f t="shared" si="0"/>
        <v>260457.4</v>
      </c>
      <c r="K8" s="175">
        <f t="shared" si="0"/>
        <v>222284.28</v>
      </c>
      <c r="L8" s="175">
        <f t="shared" si="0"/>
        <v>182279.68000000002</v>
      </c>
      <c r="M8" s="175">
        <f t="shared" si="0"/>
        <v>258665.60000000001</v>
      </c>
      <c r="N8" s="175">
        <f t="shared" si="0"/>
        <v>198908.35</v>
      </c>
      <c r="O8" s="175">
        <f t="shared" si="0"/>
        <v>147341.84</v>
      </c>
      <c r="P8" s="175">
        <f t="shared" si="0"/>
        <v>125425.82</v>
      </c>
      <c r="Q8" s="175">
        <f>SUM(E8:P8)</f>
        <v>2140514.8000000003</v>
      </c>
    </row>
    <row r="9" spans="1:17" s="175" customFormat="1" ht="11.65" x14ac:dyDescent="0.35">
      <c r="C9" s="175" t="s">
        <v>223</v>
      </c>
      <c r="E9" s="177">
        <f>E8/$Q8</f>
        <v>7.4858431252145516E-2</v>
      </c>
      <c r="F9" s="177">
        <f t="shared" ref="F9:Q9" si="1">F8/$Q8</f>
        <v>6.8540287598104904E-2</v>
      </c>
      <c r="G9" s="177">
        <f t="shared" si="1"/>
        <v>6.6006513947018716E-2</v>
      </c>
      <c r="H9" s="177">
        <f t="shared" si="1"/>
        <v>5.831018781089483E-2</v>
      </c>
      <c r="I9" s="177">
        <f t="shared" si="1"/>
        <v>8.0402625573997424E-2</v>
      </c>
      <c r="J9" s="177">
        <f t="shared" si="1"/>
        <v>0.12167979403833132</v>
      </c>
      <c r="K9" s="177">
        <f t="shared" si="1"/>
        <v>0.10384617756438777</v>
      </c>
      <c r="L9" s="177">
        <f t="shared" si="1"/>
        <v>8.5156935144760498E-2</v>
      </c>
      <c r="M9" s="177">
        <f t="shared" si="1"/>
        <v>0.12084270568930426</v>
      </c>
      <c r="N9" s="177">
        <f t="shared" si="1"/>
        <v>9.2925472881570353E-2</v>
      </c>
      <c r="O9" s="177">
        <f t="shared" si="1"/>
        <v>6.8834768159510035E-2</v>
      </c>
      <c r="P9" s="177">
        <f t="shared" si="1"/>
        <v>5.8596100339974283E-2</v>
      </c>
      <c r="Q9" s="177">
        <f t="shared" si="1"/>
        <v>1</v>
      </c>
    </row>
    <row r="10" spans="1:17" s="175" customFormat="1" ht="11.65" x14ac:dyDescent="0.35">
      <c r="C10" s="175" t="s">
        <v>224</v>
      </c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</row>
    <row r="11" spans="1:17" s="175" customFormat="1" ht="11.65" x14ac:dyDescent="0.35">
      <c r="C11" s="175" t="s">
        <v>225</v>
      </c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</row>
    <row r="12" spans="1:17" s="175" customFormat="1" ht="11.65" x14ac:dyDescent="0.35"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</row>
    <row r="13" spans="1:17" s="175" customFormat="1" ht="11.65" x14ac:dyDescent="0.35">
      <c r="C13" s="175" t="s">
        <v>226</v>
      </c>
      <c r="E13" s="175">
        <f t="shared" ref="E13:O13" si="2">ROUND(E9*$Q13,-2)</f>
        <v>28000</v>
      </c>
      <c r="F13" s="175">
        <f t="shared" si="2"/>
        <v>25700</v>
      </c>
      <c r="G13" s="175">
        <f t="shared" si="2"/>
        <v>24700</v>
      </c>
      <c r="H13" s="175">
        <f t="shared" si="2"/>
        <v>21800</v>
      </c>
      <c r="I13" s="175">
        <f t="shared" si="2"/>
        <v>30100</v>
      </c>
      <c r="J13" s="175">
        <f t="shared" si="2"/>
        <v>45600</v>
      </c>
      <c r="K13" s="175">
        <f t="shared" si="2"/>
        <v>38900</v>
      </c>
      <c r="L13" s="175">
        <f t="shared" si="2"/>
        <v>31900</v>
      </c>
      <c r="M13" s="175">
        <f t="shared" si="2"/>
        <v>45200</v>
      </c>
      <c r="N13" s="175">
        <f t="shared" si="2"/>
        <v>34800</v>
      </c>
      <c r="O13" s="175">
        <f t="shared" si="2"/>
        <v>25800</v>
      </c>
      <c r="P13" s="175">
        <f>ROUND(P9*$Q13,-2)</f>
        <v>21900</v>
      </c>
      <c r="Q13" s="146">
        <f>390000*0.96</f>
        <v>374400</v>
      </c>
    </row>
    <row r="14" spans="1:17" s="175" customFormat="1" ht="11.65" x14ac:dyDescent="0.35"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</row>
    <row r="15" spans="1:17" s="175" customFormat="1" ht="11.65" x14ac:dyDescent="0.35"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</row>
    <row r="16" spans="1:17" s="175" customFormat="1" ht="11.65" x14ac:dyDescent="0.35"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</row>
    <row r="17" spans="5:17" s="175" customFormat="1" ht="11.65" x14ac:dyDescent="0.35"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</row>
    <row r="18" spans="5:17" s="175" customFormat="1" ht="11.65" x14ac:dyDescent="0.35"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</row>
    <row r="19" spans="5:17" s="175" customFormat="1" ht="11.65" x14ac:dyDescent="0.35"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</row>
    <row r="20" spans="5:17" s="175" customFormat="1" ht="11.65" x14ac:dyDescent="0.35"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19C13-17DF-453F-A66A-6B0FBDA614D0}">
  <sheetPr>
    <pageSetUpPr fitToPage="1"/>
  </sheetPr>
  <dimension ref="A1:P126"/>
  <sheetViews>
    <sheetView topLeftCell="B1" zoomScale="130" zoomScaleNormal="130" workbookViewId="0">
      <pane ySplit="4" topLeftCell="A100" activePane="bottomLeft" state="frozen"/>
      <selection pane="bottomLeft" activeCell="G119" sqref="G119"/>
    </sheetView>
  </sheetViews>
  <sheetFormatPr defaultRowHeight="14.25" x14ac:dyDescent="0.45"/>
  <cols>
    <col min="1" max="1" width="3.1328125" customWidth="1"/>
    <col min="2" max="6" width="1.46484375" customWidth="1"/>
    <col min="7" max="7" width="32.6640625" customWidth="1"/>
    <col min="8" max="8" width="16" bestFit="1" customWidth="1"/>
    <col min="9" max="9" width="10.33203125" bestFit="1" customWidth="1"/>
    <col min="10" max="10" width="14.1328125" bestFit="1" customWidth="1"/>
    <col min="11" max="11" width="1.53125" customWidth="1"/>
    <col min="12" max="12" width="18.86328125" bestFit="1" customWidth="1"/>
    <col min="13" max="13" width="1.33203125" customWidth="1"/>
    <col min="14" max="14" width="18.86328125" bestFit="1" customWidth="1"/>
    <col min="16" max="16" width="15.796875" customWidth="1"/>
  </cols>
  <sheetData>
    <row r="1" spans="1:15" ht="20.65" x14ac:dyDescent="0.6">
      <c r="A1" s="60" t="s">
        <v>185</v>
      </c>
      <c r="B1" s="60"/>
      <c r="C1" s="60"/>
      <c r="D1" s="60"/>
      <c r="E1" s="60"/>
      <c r="F1" s="60"/>
      <c r="G1" s="60"/>
      <c r="H1" s="60"/>
      <c r="I1" s="60"/>
      <c r="J1" s="60"/>
      <c r="K1" s="59"/>
      <c r="L1" s="60"/>
      <c r="M1" s="59"/>
    </row>
    <row r="2" spans="1:15" ht="16.5" x14ac:dyDescent="0.45">
      <c r="A2" s="58" t="s">
        <v>184</v>
      </c>
      <c r="B2" s="58"/>
      <c r="C2" s="58"/>
      <c r="D2" s="58"/>
      <c r="E2" s="58"/>
      <c r="F2" s="58"/>
      <c r="G2" s="58"/>
      <c r="H2" s="58"/>
      <c r="I2" s="58"/>
      <c r="J2" s="58"/>
      <c r="K2" s="57"/>
      <c r="L2" s="58"/>
      <c r="M2" s="57"/>
    </row>
    <row r="3" spans="1:15" ht="14.65" thickBot="1" x14ac:dyDescent="0.5">
      <c r="A3" s="42"/>
      <c r="B3" s="42"/>
      <c r="C3" s="42"/>
      <c r="D3" s="42"/>
      <c r="E3" s="42"/>
      <c r="F3" s="42"/>
      <c r="G3" s="42"/>
      <c r="H3" s="42"/>
      <c r="I3" s="42"/>
      <c r="J3" s="42"/>
      <c r="K3" s="56"/>
      <c r="L3" s="56"/>
      <c r="M3" s="56"/>
      <c r="N3" s="56"/>
    </row>
    <row r="4" spans="1:15" ht="15" thickTop="1" thickBot="1" x14ac:dyDescent="0.5">
      <c r="A4" s="55"/>
      <c r="B4" s="55"/>
      <c r="C4" s="55"/>
      <c r="D4" s="55"/>
      <c r="E4" s="55"/>
      <c r="F4" s="55"/>
      <c r="G4" s="55"/>
      <c r="H4" s="54" t="s">
        <v>183</v>
      </c>
      <c r="I4" s="54" t="s">
        <v>182</v>
      </c>
      <c r="J4" s="54" t="s">
        <v>181</v>
      </c>
      <c r="K4" s="55"/>
      <c r="L4" s="54" t="s">
        <v>180</v>
      </c>
      <c r="M4" s="55"/>
      <c r="N4" s="54" t="s">
        <v>179</v>
      </c>
    </row>
    <row r="5" spans="1:15" ht="14.65" thickTop="1" x14ac:dyDescent="0.45">
      <c r="A5" s="42"/>
      <c r="B5" s="42"/>
      <c r="C5" s="42" t="s">
        <v>178</v>
      </c>
      <c r="D5" s="42"/>
      <c r="E5" s="42"/>
      <c r="F5" s="42"/>
      <c r="G5" s="42"/>
      <c r="H5" s="46"/>
      <c r="I5" s="46"/>
      <c r="J5" s="46"/>
      <c r="K5" s="46"/>
      <c r="L5" s="46"/>
      <c r="M5" s="46"/>
      <c r="N5" s="46"/>
    </row>
    <row r="6" spans="1:15" x14ac:dyDescent="0.45">
      <c r="A6" s="42"/>
      <c r="B6" s="42"/>
      <c r="C6" s="42"/>
      <c r="D6" s="42" t="s">
        <v>177</v>
      </c>
      <c r="E6" s="42"/>
      <c r="F6" s="42"/>
      <c r="G6" s="42"/>
      <c r="H6" s="46"/>
      <c r="I6" s="46"/>
      <c r="J6" s="46"/>
      <c r="K6" s="46"/>
      <c r="L6" s="46"/>
      <c r="M6" s="46"/>
      <c r="N6" s="46"/>
    </row>
    <row r="7" spans="1:15" x14ac:dyDescent="0.45">
      <c r="A7" s="42"/>
      <c r="B7" s="42"/>
      <c r="C7" s="42"/>
      <c r="D7" s="42"/>
      <c r="E7" s="42" t="s">
        <v>176</v>
      </c>
      <c r="F7" s="42"/>
      <c r="G7" s="42"/>
      <c r="H7" s="46">
        <v>274135.87</v>
      </c>
      <c r="I7" s="46">
        <v>122719</v>
      </c>
      <c r="J7" s="46">
        <f>I7+H7</f>
        <v>396854.87</v>
      </c>
      <c r="K7" s="46"/>
      <c r="L7" s="46">
        <v>376554</v>
      </c>
      <c r="M7" s="46"/>
      <c r="N7" s="46">
        <f>390000*0.96</f>
        <v>374400</v>
      </c>
    </row>
    <row r="8" spans="1:15" x14ac:dyDescent="0.45">
      <c r="A8" s="42"/>
      <c r="B8" s="42"/>
      <c r="C8" s="42"/>
      <c r="D8" s="42"/>
      <c r="E8" s="42" t="s">
        <v>175</v>
      </c>
      <c r="F8" s="42"/>
      <c r="G8" s="42"/>
      <c r="H8" s="46">
        <v>1653</v>
      </c>
      <c r="I8" s="46">
        <v>3835</v>
      </c>
      <c r="J8" s="46">
        <f>I8+H8</f>
        <v>5488</v>
      </c>
      <c r="K8" s="46"/>
      <c r="L8" s="46">
        <v>11499</v>
      </c>
      <c r="M8" s="46"/>
      <c r="N8" s="46">
        <v>8306</v>
      </c>
      <c r="O8" t="s">
        <v>174</v>
      </c>
    </row>
    <row r="9" spans="1:15" x14ac:dyDescent="0.45">
      <c r="A9" s="42"/>
      <c r="B9" s="42"/>
      <c r="C9" s="42"/>
      <c r="D9" s="42"/>
      <c r="E9" s="42" t="s">
        <v>173</v>
      </c>
      <c r="F9" s="42"/>
      <c r="G9" s="42"/>
      <c r="H9" s="46">
        <v>251.5</v>
      </c>
      <c r="I9" s="46">
        <v>0</v>
      </c>
      <c r="J9" s="46">
        <f>I9+H9</f>
        <v>251.5</v>
      </c>
      <c r="K9" s="46"/>
      <c r="L9" s="46">
        <v>13221</v>
      </c>
      <c r="M9" s="46"/>
      <c r="N9" s="46">
        <v>9950</v>
      </c>
    </row>
    <row r="10" spans="1:15" ht="14.65" thickBot="1" x14ac:dyDescent="0.5">
      <c r="A10" s="42"/>
      <c r="B10" s="42"/>
      <c r="C10" s="42"/>
      <c r="D10" s="42"/>
      <c r="E10" s="42" t="s">
        <v>172</v>
      </c>
      <c r="F10" s="42"/>
      <c r="G10" s="42"/>
      <c r="H10" s="46">
        <v>35000</v>
      </c>
      <c r="I10" s="46">
        <v>0</v>
      </c>
      <c r="J10" s="46">
        <f>I10+H10</f>
        <v>35000</v>
      </c>
      <c r="K10" s="46"/>
      <c r="L10" s="46">
        <v>30000</v>
      </c>
      <c r="M10" s="46"/>
      <c r="N10" s="46">
        <v>0</v>
      </c>
    </row>
    <row r="11" spans="1:15" s="43" customFormat="1" x14ac:dyDescent="0.45">
      <c r="A11" s="42"/>
      <c r="B11" s="42"/>
      <c r="C11" s="42"/>
      <c r="D11" s="42" t="s">
        <v>171</v>
      </c>
      <c r="E11" s="42"/>
      <c r="F11" s="42"/>
      <c r="G11" s="42"/>
      <c r="H11" s="45">
        <f>SUM(H7:H10)</f>
        <v>311040.37</v>
      </c>
      <c r="I11" s="45">
        <f>SUM(I7:I10)</f>
        <v>126554</v>
      </c>
      <c r="J11" s="45">
        <f>SUM(J7:J10)</f>
        <v>437594.37</v>
      </c>
      <c r="K11" s="41"/>
      <c r="L11" s="45">
        <f>SUM(L7:L10)</f>
        <v>431274</v>
      </c>
      <c r="M11" s="41"/>
      <c r="N11" s="45">
        <f>SUM(N7:N10)</f>
        <v>392656</v>
      </c>
    </row>
    <row r="12" spans="1:15" x14ac:dyDescent="0.45">
      <c r="A12" s="42"/>
      <c r="B12" s="42"/>
      <c r="C12" s="42"/>
      <c r="D12" s="42" t="s">
        <v>170</v>
      </c>
      <c r="E12" s="42"/>
      <c r="F12" s="42"/>
      <c r="G12" s="42"/>
      <c r="H12" s="46"/>
      <c r="I12" s="46"/>
      <c r="J12" s="46"/>
      <c r="K12" s="46"/>
      <c r="L12" s="46"/>
      <c r="M12" s="46"/>
      <c r="N12" s="46"/>
    </row>
    <row r="13" spans="1:15" x14ac:dyDescent="0.45">
      <c r="A13" s="42"/>
      <c r="B13" s="42"/>
      <c r="C13" s="42"/>
      <c r="D13" s="42"/>
      <c r="E13" s="42" t="s">
        <v>169</v>
      </c>
      <c r="F13" s="42"/>
      <c r="G13" s="42"/>
      <c r="H13" s="46">
        <f>43246.84+1950</f>
        <v>45196.84</v>
      </c>
      <c r="I13" s="46">
        <f>20808+1124</f>
        <v>21932</v>
      </c>
      <c r="J13" s="46">
        <f>I13+H13</f>
        <v>67128.84</v>
      </c>
      <c r="K13" s="46"/>
      <c r="L13" s="46">
        <v>65178</v>
      </c>
      <c r="M13" s="46"/>
      <c r="N13" s="46">
        <v>68002</v>
      </c>
    </row>
    <row r="14" spans="1:15" x14ac:dyDescent="0.45">
      <c r="A14" s="42"/>
      <c r="B14" s="42"/>
      <c r="C14" s="42"/>
      <c r="D14" s="42"/>
      <c r="E14" s="42" t="s">
        <v>168</v>
      </c>
      <c r="F14" s="42"/>
      <c r="G14" s="42"/>
      <c r="H14" s="46">
        <v>8008</v>
      </c>
      <c r="I14" s="46">
        <v>4156</v>
      </c>
      <c r="J14" s="46">
        <f>I14+H14</f>
        <v>12164</v>
      </c>
      <c r="K14" s="46"/>
      <c r="L14" s="46">
        <v>12240</v>
      </c>
      <c r="M14" s="46"/>
      <c r="N14" s="46">
        <v>12240</v>
      </c>
    </row>
    <row r="15" spans="1:15" x14ac:dyDescent="0.45">
      <c r="A15" s="42"/>
      <c r="B15" s="42"/>
      <c r="C15" s="42"/>
      <c r="D15" s="42"/>
      <c r="E15" s="42" t="s">
        <v>167</v>
      </c>
      <c r="F15" s="42"/>
      <c r="G15" s="42"/>
      <c r="H15" s="46">
        <v>840</v>
      </c>
      <c r="I15" s="46">
        <v>0</v>
      </c>
      <c r="J15" s="46">
        <f>I15+H15</f>
        <v>840</v>
      </c>
      <c r="K15" s="46"/>
      <c r="L15" s="46">
        <v>2550</v>
      </c>
      <c r="M15" s="46"/>
      <c r="N15" s="46">
        <v>0</v>
      </c>
      <c r="O15" t="s">
        <v>166</v>
      </c>
    </row>
    <row r="16" spans="1:15" x14ac:dyDescent="0.45">
      <c r="A16" s="42"/>
      <c r="B16" s="42"/>
      <c r="C16" s="42"/>
      <c r="D16" s="42"/>
      <c r="E16" s="42" t="s">
        <v>165</v>
      </c>
      <c r="F16" s="42"/>
      <c r="G16" s="42"/>
      <c r="H16" s="46">
        <v>3200</v>
      </c>
      <c r="I16" s="46">
        <v>3240</v>
      </c>
      <c r="J16" s="46">
        <f>I16+H16</f>
        <v>6440</v>
      </c>
      <c r="K16" s="46"/>
      <c r="L16" s="46">
        <v>9720</v>
      </c>
      <c r="M16" s="46"/>
      <c r="N16" s="46">
        <v>5600</v>
      </c>
    </row>
    <row r="17" spans="1:16" ht="14.65" thickBot="1" x14ac:dyDescent="0.5">
      <c r="A17" s="42"/>
      <c r="B17" s="42"/>
      <c r="C17" s="42"/>
      <c r="D17" s="42"/>
      <c r="E17" s="42" t="s">
        <v>164</v>
      </c>
      <c r="F17" s="42"/>
      <c r="G17" s="42"/>
      <c r="H17" s="49">
        <v>1110</v>
      </c>
      <c r="I17" s="49">
        <v>0</v>
      </c>
      <c r="J17" s="49">
        <f>I17+H17</f>
        <v>1110</v>
      </c>
      <c r="K17" s="46"/>
      <c r="L17" s="49">
        <v>0</v>
      </c>
      <c r="M17" s="46"/>
      <c r="N17" s="49">
        <v>1736</v>
      </c>
    </row>
    <row r="18" spans="1:16" s="43" customFormat="1" x14ac:dyDescent="0.45">
      <c r="A18" s="42"/>
      <c r="B18" s="42"/>
      <c r="C18" s="42"/>
      <c r="D18" s="42" t="s">
        <v>163</v>
      </c>
      <c r="E18" s="42"/>
      <c r="F18" s="42"/>
      <c r="G18" s="42"/>
      <c r="H18" s="41">
        <f>SUM(H13:H17)</f>
        <v>58354.84</v>
      </c>
      <c r="I18" s="41">
        <f>SUM(I13:I17)</f>
        <v>29328</v>
      </c>
      <c r="J18" s="41">
        <f>SUM(J13:J17)</f>
        <v>87682.84</v>
      </c>
      <c r="K18" s="41"/>
      <c r="L18" s="41">
        <f>SUM(L13:L17)</f>
        <v>89688</v>
      </c>
      <c r="M18" s="41"/>
      <c r="N18" s="41">
        <f>SUM(N13:N17)</f>
        <v>87578</v>
      </c>
    </row>
    <row r="19" spans="1:16" x14ac:dyDescent="0.45">
      <c r="A19" s="42"/>
      <c r="B19" s="42"/>
      <c r="C19" s="42"/>
      <c r="D19" s="42" t="s">
        <v>162</v>
      </c>
      <c r="E19" s="42"/>
      <c r="F19" s="42"/>
      <c r="G19" s="42"/>
      <c r="H19" s="46"/>
      <c r="I19" s="46"/>
      <c r="J19" s="46"/>
      <c r="K19" s="46"/>
      <c r="L19" s="46"/>
      <c r="M19" s="46"/>
      <c r="N19" s="46"/>
    </row>
    <row r="20" spans="1:16" x14ac:dyDescent="0.45">
      <c r="A20" s="42"/>
      <c r="B20" s="42"/>
      <c r="C20" s="42"/>
      <c r="D20" s="42"/>
      <c r="E20" s="42" t="s">
        <v>161</v>
      </c>
      <c r="F20" s="42"/>
      <c r="G20" s="42"/>
      <c r="H20" s="46">
        <v>484.82</v>
      </c>
      <c r="I20" s="46">
        <v>0</v>
      </c>
      <c r="J20" s="46">
        <f>I20+H20</f>
        <v>484.82</v>
      </c>
      <c r="K20" s="46"/>
      <c r="L20" s="46">
        <v>12000</v>
      </c>
      <c r="M20" s="46"/>
      <c r="N20" s="46">
        <v>500</v>
      </c>
    </row>
    <row r="21" spans="1:16" x14ac:dyDescent="0.45">
      <c r="A21" s="42"/>
      <c r="B21" s="42"/>
      <c r="C21" s="42"/>
      <c r="D21" s="42"/>
      <c r="E21" s="42" t="s">
        <v>160</v>
      </c>
      <c r="F21" s="42"/>
      <c r="G21" s="42"/>
      <c r="H21" s="46">
        <v>139.35</v>
      </c>
      <c r="I21" s="46">
        <v>64</v>
      </c>
      <c r="J21" s="46">
        <f>I21+H21</f>
        <v>203.35</v>
      </c>
      <c r="K21" s="46"/>
      <c r="L21" s="46">
        <v>189</v>
      </c>
      <c r="M21" s="46"/>
      <c r="N21" s="46">
        <v>378</v>
      </c>
    </row>
    <row r="22" spans="1:16" ht="14.65" thickBot="1" x14ac:dyDescent="0.5">
      <c r="A22" s="42"/>
      <c r="B22" s="42"/>
      <c r="C22" s="42"/>
      <c r="D22" s="42"/>
      <c r="E22" s="42" t="s">
        <v>159</v>
      </c>
      <c r="F22" s="42"/>
      <c r="G22" s="42"/>
      <c r="H22" s="46">
        <v>1143.83</v>
      </c>
      <c r="I22" s="46">
        <v>240</v>
      </c>
      <c r="J22" s="46">
        <f>I22+H22</f>
        <v>1383.83</v>
      </c>
      <c r="K22" s="46"/>
      <c r="L22" s="46">
        <v>660</v>
      </c>
      <c r="M22" s="46"/>
      <c r="N22" s="46">
        <v>600</v>
      </c>
    </row>
    <row r="23" spans="1:16" s="43" customFormat="1" x14ac:dyDescent="0.45">
      <c r="A23" s="42"/>
      <c r="B23" s="42"/>
      <c r="C23" s="42"/>
      <c r="D23" s="42" t="s">
        <v>158</v>
      </c>
      <c r="E23" s="42"/>
      <c r="F23" s="42"/>
      <c r="G23" s="42"/>
      <c r="H23" s="45">
        <f>SUM(H20:H22)</f>
        <v>1768</v>
      </c>
      <c r="I23" s="45">
        <f>SUM(I20:I22)</f>
        <v>304</v>
      </c>
      <c r="J23" s="45">
        <f>SUM(J20:J22)</f>
        <v>2072</v>
      </c>
      <c r="K23" s="41"/>
      <c r="L23" s="45">
        <f>SUM(L20:L22)</f>
        <v>12849</v>
      </c>
      <c r="M23" s="41"/>
      <c r="N23" s="45">
        <f>SUM(N20:N22)</f>
        <v>1478</v>
      </c>
    </row>
    <row r="24" spans="1:16" x14ac:dyDescent="0.45">
      <c r="A24" s="42"/>
      <c r="B24" s="42"/>
      <c r="C24" s="42"/>
      <c r="D24" s="42" t="s">
        <v>157</v>
      </c>
      <c r="E24" s="42"/>
      <c r="F24" s="42"/>
      <c r="G24" s="42"/>
      <c r="H24" s="46"/>
      <c r="I24" s="46"/>
      <c r="J24" s="46"/>
      <c r="K24" s="46"/>
      <c r="L24" s="46"/>
      <c r="M24" s="46"/>
      <c r="N24" s="46"/>
    </row>
    <row r="25" spans="1:16" x14ac:dyDescent="0.45">
      <c r="A25" s="42"/>
      <c r="B25" s="42"/>
      <c r="C25" s="42"/>
      <c r="D25" s="42"/>
      <c r="E25" s="42" t="s">
        <v>156</v>
      </c>
      <c r="F25" s="42"/>
      <c r="G25" s="42"/>
      <c r="H25" s="46">
        <v>16234</v>
      </c>
      <c r="I25" s="46">
        <v>0</v>
      </c>
      <c r="J25" s="46">
        <f>I25+H25</f>
        <v>16234</v>
      </c>
      <c r="K25" s="46"/>
      <c r="L25" s="46">
        <v>60887</v>
      </c>
      <c r="M25" s="46"/>
      <c r="N25" s="46">
        <f>J124</f>
        <v>91000</v>
      </c>
      <c r="P25">
        <f>572-91</f>
        <v>481</v>
      </c>
    </row>
    <row r="26" spans="1:16" x14ac:dyDescent="0.45">
      <c r="A26" s="42"/>
      <c r="B26" s="42"/>
      <c r="C26" s="42"/>
      <c r="D26" s="42"/>
      <c r="E26" s="42" t="s">
        <v>155</v>
      </c>
      <c r="F26" s="42"/>
      <c r="G26" s="42"/>
      <c r="H26" s="46"/>
      <c r="I26" s="46"/>
      <c r="J26" s="46"/>
      <c r="K26" s="46"/>
      <c r="L26" s="46"/>
      <c r="M26" s="46"/>
      <c r="N26" s="46">
        <v>15627</v>
      </c>
    </row>
    <row r="27" spans="1:16" ht="14.65" thickBot="1" x14ac:dyDescent="0.5">
      <c r="A27" s="42"/>
      <c r="B27" s="42"/>
      <c r="C27" s="42"/>
      <c r="D27" s="42"/>
      <c r="E27" s="42" t="s">
        <v>154</v>
      </c>
      <c r="F27" s="42"/>
      <c r="G27" s="42"/>
      <c r="H27" s="49">
        <v>78062</v>
      </c>
      <c r="I27" s="49">
        <v>0</v>
      </c>
      <c r="J27" s="49">
        <f>I27+H27</f>
        <v>78062</v>
      </c>
      <c r="K27" s="46"/>
      <c r="L27" s="49">
        <v>0</v>
      </c>
      <c r="M27" s="46"/>
      <c r="N27" s="49">
        <v>78000</v>
      </c>
    </row>
    <row r="28" spans="1:16" s="43" customFormat="1" ht="14.65" thickBot="1" x14ac:dyDescent="0.5">
      <c r="A28" s="42"/>
      <c r="B28" s="42"/>
      <c r="C28" s="42"/>
      <c r="D28" s="42" t="s">
        <v>153</v>
      </c>
      <c r="E28" s="42"/>
      <c r="F28" s="42"/>
      <c r="G28" s="42"/>
      <c r="H28" s="41">
        <f>SUM(H25:H27)</f>
        <v>94296</v>
      </c>
      <c r="I28" s="41">
        <f>SUM(I25:I27)</f>
        <v>0</v>
      </c>
      <c r="J28" s="41">
        <f>SUM(J25:J27)</f>
        <v>94296</v>
      </c>
      <c r="K28" s="41"/>
      <c r="L28" s="41">
        <f>SUM(L25:L27)</f>
        <v>60887</v>
      </c>
      <c r="M28" s="41"/>
      <c r="N28" s="41">
        <f>SUM(N25:N27)</f>
        <v>184627</v>
      </c>
    </row>
    <row r="29" spans="1:16" s="43" customFormat="1" x14ac:dyDescent="0.45">
      <c r="A29" s="42"/>
      <c r="B29" s="42"/>
      <c r="C29" s="42" t="s">
        <v>6</v>
      </c>
      <c r="D29" s="42"/>
      <c r="E29" s="42"/>
      <c r="F29" s="42"/>
      <c r="G29" s="42"/>
      <c r="H29" s="45">
        <f>H28+H23+H18+H11</f>
        <v>465459.20999999996</v>
      </c>
      <c r="I29" s="45">
        <f>I28+I23+I18+I11</f>
        <v>156186</v>
      </c>
      <c r="J29" s="45">
        <f>J28+J23+J18+J11</f>
        <v>621645.21</v>
      </c>
      <c r="K29" s="41"/>
      <c r="L29" s="45">
        <f>L28+L23+L18+L11</f>
        <v>594698</v>
      </c>
      <c r="M29" s="41"/>
      <c r="N29" s="45">
        <f>N28+N23+N18+N11</f>
        <v>666339</v>
      </c>
    </row>
    <row r="30" spans="1:16" s="43" customFormat="1" x14ac:dyDescent="0.45">
      <c r="A30" s="42"/>
      <c r="B30" s="42"/>
      <c r="C30" s="42"/>
      <c r="D30" s="42"/>
      <c r="E30" s="42"/>
      <c r="F30" s="42"/>
      <c r="G30" s="42" t="s">
        <v>152</v>
      </c>
      <c r="H30" s="41"/>
      <c r="I30" s="41"/>
      <c r="J30" s="41"/>
      <c r="K30" s="41"/>
      <c r="L30" s="41"/>
      <c r="M30" s="41"/>
      <c r="N30" s="41"/>
    </row>
    <row r="31" spans="1:16" x14ac:dyDescent="0.45">
      <c r="A31" s="42"/>
      <c r="B31" s="42"/>
      <c r="C31" s="42" t="s">
        <v>151</v>
      </c>
      <c r="D31" s="42"/>
      <c r="E31" s="42"/>
      <c r="F31" s="42"/>
      <c r="G31" s="42"/>
      <c r="H31" s="46"/>
      <c r="I31" s="46"/>
      <c r="J31" s="46"/>
      <c r="K31" s="46"/>
      <c r="L31" s="46"/>
      <c r="M31" s="46"/>
      <c r="N31" s="46"/>
    </row>
    <row r="32" spans="1:16" x14ac:dyDescent="0.45">
      <c r="A32" s="42"/>
      <c r="B32" s="42"/>
      <c r="C32" s="42"/>
      <c r="D32" s="42" t="s">
        <v>150</v>
      </c>
      <c r="E32" s="42"/>
      <c r="F32" s="42"/>
      <c r="G32" s="42"/>
      <c r="H32" s="46"/>
      <c r="I32" s="46"/>
      <c r="J32" s="46"/>
      <c r="K32" s="46"/>
      <c r="L32" s="46"/>
      <c r="M32" s="46"/>
      <c r="N32" s="46"/>
    </row>
    <row r="33" spans="1:16" x14ac:dyDescent="0.45">
      <c r="A33" s="42"/>
      <c r="B33" s="42"/>
      <c r="C33" s="42"/>
      <c r="D33" s="42"/>
      <c r="E33" s="42" t="s">
        <v>149</v>
      </c>
      <c r="F33" s="42"/>
      <c r="G33" s="42"/>
      <c r="H33" s="46"/>
      <c r="I33" s="46"/>
      <c r="J33" s="46"/>
      <c r="K33" s="46"/>
      <c r="L33" s="46"/>
      <c r="M33" s="46"/>
      <c r="N33" s="46"/>
    </row>
    <row r="34" spans="1:16" x14ac:dyDescent="0.45">
      <c r="A34" s="42"/>
      <c r="B34" s="42"/>
      <c r="C34" s="42"/>
      <c r="D34" s="42"/>
      <c r="E34" s="42"/>
      <c r="F34" s="42" t="s">
        <v>148</v>
      </c>
      <c r="G34" s="42"/>
      <c r="H34" s="46">
        <v>49611.91</v>
      </c>
      <c r="I34" s="46">
        <f>2902.33*8</f>
        <v>23218.639999999999</v>
      </c>
      <c r="J34" s="46">
        <f t="shared" ref="J34:J45" si="0">I34+H34</f>
        <v>72830.55</v>
      </c>
      <c r="K34" s="46"/>
      <c r="L34" s="46">
        <v>70963</v>
      </c>
      <c r="M34" s="46"/>
      <c r="N34" s="46">
        <v>48000</v>
      </c>
    </row>
    <row r="35" spans="1:16" x14ac:dyDescent="0.45">
      <c r="A35" s="42"/>
      <c r="B35" s="42"/>
      <c r="C35" s="42"/>
      <c r="D35" s="42"/>
      <c r="E35" s="42"/>
      <c r="F35" s="42" t="s">
        <v>147</v>
      </c>
      <c r="G35" s="42"/>
      <c r="H35" s="46">
        <v>21741.61</v>
      </c>
      <c r="I35" s="46">
        <f>1333.33*8</f>
        <v>10666.64</v>
      </c>
      <c r="J35" s="46">
        <f t="shared" si="0"/>
        <v>32408.25</v>
      </c>
      <c r="K35" s="46"/>
      <c r="L35" s="46">
        <v>27560</v>
      </c>
      <c r="M35" s="46"/>
      <c r="N35" s="46">
        <v>48000</v>
      </c>
      <c r="O35" t="s">
        <v>146</v>
      </c>
    </row>
    <row r="36" spans="1:16" x14ac:dyDescent="0.45">
      <c r="A36" s="42"/>
      <c r="B36" s="42"/>
      <c r="C36" s="42"/>
      <c r="D36" s="42"/>
      <c r="E36" s="42"/>
      <c r="F36" s="42" t="s">
        <v>145</v>
      </c>
      <c r="G36" s="42"/>
      <c r="H36" s="46">
        <v>1571.25</v>
      </c>
      <c r="I36" s="46">
        <v>0</v>
      </c>
      <c r="J36" s="46">
        <f t="shared" si="0"/>
        <v>1571.25</v>
      </c>
      <c r="K36" s="46"/>
      <c r="L36" s="46">
        <v>7542</v>
      </c>
      <c r="M36" s="46"/>
      <c r="N36" s="46">
        <v>7344</v>
      </c>
    </row>
    <row r="37" spans="1:16" x14ac:dyDescent="0.45">
      <c r="A37" s="42"/>
      <c r="B37" s="42"/>
      <c r="C37" s="42"/>
      <c r="D37" s="42"/>
      <c r="E37" s="42"/>
      <c r="F37" s="42" t="s">
        <v>144</v>
      </c>
      <c r="G37" s="42"/>
      <c r="H37" s="46">
        <v>28359.55</v>
      </c>
      <c r="I37" s="46">
        <f>1937.5*8</f>
        <v>15500</v>
      </c>
      <c r="J37" s="46">
        <f t="shared" si="0"/>
        <v>43859.55</v>
      </c>
      <c r="K37" s="46"/>
      <c r="L37" s="46">
        <v>46500</v>
      </c>
      <c r="M37" s="46"/>
      <c r="N37" s="50">
        <v>47700</v>
      </c>
    </row>
    <row r="38" spans="1:16" x14ac:dyDescent="0.45">
      <c r="A38" s="42"/>
      <c r="B38" s="42"/>
      <c r="C38" s="42"/>
      <c r="D38" s="42"/>
      <c r="E38" s="42"/>
      <c r="F38" s="42" t="s">
        <v>143</v>
      </c>
      <c r="G38" s="42"/>
      <c r="H38" s="46">
        <v>1680</v>
      </c>
      <c r="I38" s="46">
        <f>420*8</f>
        <v>3360</v>
      </c>
      <c r="J38" s="46">
        <f t="shared" si="0"/>
        <v>5040</v>
      </c>
      <c r="K38" s="46"/>
      <c r="L38" s="46">
        <v>10540</v>
      </c>
      <c r="M38" s="46"/>
      <c r="N38" s="46">
        <v>6500</v>
      </c>
    </row>
    <row r="39" spans="1:16" x14ac:dyDescent="0.45">
      <c r="A39" s="42"/>
      <c r="B39" s="42"/>
      <c r="C39" s="42"/>
      <c r="D39" s="42"/>
      <c r="E39" s="42"/>
      <c r="F39" s="42" t="s">
        <v>142</v>
      </c>
      <c r="G39" s="42"/>
      <c r="H39" s="46">
        <v>28073.72</v>
      </c>
      <c r="I39" s="46">
        <f>1991.67*8</f>
        <v>15933.36</v>
      </c>
      <c r="J39" s="46">
        <f t="shared" si="0"/>
        <v>44007.08</v>
      </c>
      <c r="K39" s="46"/>
      <c r="L39" s="46">
        <v>48566</v>
      </c>
      <c r="M39" s="46"/>
      <c r="N39" s="50">
        <v>49000</v>
      </c>
    </row>
    <row r="40" spans="1:16" x14ac:dyDescent="0.45">
      <c r="A40" s="42"/>
      <c r="B40" s="42"/>
      <c r="C40" s="42"/>
      <c r="D40" s="42"/>
      <c r="E40" s="42"/>
      <c r="F40" s="42" t="s">
        <v>141</v>
      </c>
      <c r="G40" s="42"/>
      <c r="H40" s="46">
        <v>36952.639999999999</v>
      </c>
      <c r="I40" s="46">
        <f>2309.54*8</f>
        <v>18476.32</v>
      </c>
      <c r="J40" s="46">
        <f t="shared" si="0"/>
        <v>55428.959999999999</v>
      </c>
      <c r="K40" s="46"/>
      <c r="L40" s="46">
        <v>55429</v>
      </c>
      <c r="M40" s="46"/>
      <c r="N40" s="50">
        <v>58500</v>
      </c>
      <c r="O40" t="s">
        <v>140</v>
      </c>
    </row>
    <row r="41" spans="1:16" x14ac:dyDescent="0.45">
      <c r="A41" s="42"/>
      <c r="B41" s="42"/>
      <c r="C41" s="42"/>
      <c r="D41" s="42"/>
      <c r="E41" s="42"/>
      <c r="F41" s="42" t="s">
        <v>139</v>
      </c>
      <c r="G41" s="42"/>
      <c r="H41" s="46">
        <v>10404.32</v>
      </c>
      <c r="I41" s="46">
        <f>H41/8*4</f>
        <v>5202.16</v>
      </c>
      <c r="J41" s="46">
        <f t="shared" si="0"/>
        <v>15606.48</v>
      </c>
      <c r="K41" s="46"/>
      <c r="L41" s="46">
        <v>16068</v>
      </c>
      <c r="M41" s="46"/>
      <c r="N41" s="46">
        <v>16068</v>
      </c>
    </row>
    <row r="42" spans="1:16" x14ac:dyDescent="0.45">
      <c r="A42" s="42"/>
      <c r="B42" s="42"/>
      <c r="C42" s="42"/>
      <c r="D42" s="42"/>
      <c r="E42" s="42"/>
      <c r="F42" s="42" t="s">
        <v>138</v>
      </c>
      <c r="G42" s="42"/>
      <c r="H42" s="46">
        <v>8603.06</v>
      </c>
      <c r="I42" s="46">
        <f>20*19.12*16</f>
        <v>6118.4000000000005</v>
      </c>
      <c r="J42" s="46">
        <f t="shared" si="0"/>
        <v>14721.46</v>
      </c>
      <c r="K42" s="46"/>
      <c r="L42" s="46">
        <v>14771</v>
      </c>
      <c r="M42" s="46"/>
      <c r="N42" s="46">
        <v>14771</v>
      </c>
    </row>
    <row r="43" spans="1:16" x14ac:dyDescent="0.45">
      <c r="A43" s="42"/>
      <c r="B43" s="42"/>
      <c r="C43" s="42"/>
      <c r="D43" s="42"/>
      <c r="E43" s="42"/>
      <c r="F43" s="42" t="s">
        <v>137</v>
      </c>
      <c r="G43" s="42"/>
      <c r="H43" s="46">
        <v>2748.75</v>
      </c>
      <c r="I43" s="46">
        <f>10*15*16</f>
        <v>2400</v>
      </c>
      <c r="J43" s="46">
        <f t="shared" si="0"/>
        <v>5148.75</v>
      </c>
      <c r="K43" s="46"/>
      <c r="L43" s="46">
        <v>2460</v>
      </c>
      <c r="M43" s="46"/>
      <c r="N43" s="50">
        <v>7800</v>
      </c>
    </row>
    <row r="44" spans="1:16" x14ac:dyDescent="0.45">
      <c r="A44" s="42"/>
      <c r="B44" s="42"/>
      <c r="C44" s="42"/>
      <c r="D44" s="42"/>
      <c r="E44" s="42"/>
      <c r="F44" s="42" t="s">
        <v>136</v>
      </c>
      <c r="G44" s="42"/>
      <c r="H44" s="46">
        <v>0</v>
      </c>
      <c r="I44" s="46">
        <f>H44/8*4</f>
        <v>0</v>
      </c>
      <c r="J44" s="46">
        <f t="shared" si="0"/>
        <v>0</v>
      </c>
      <c r="K44" s="46"/>
      <c r="L44" s="46">
        <v>4590</v>
      </c>
      <c r="M44" s="46"/>
      <c r="N44" s="46">
        <v>4590</v>
      </c>
    </row>
    <row r="45" spans="1:16" ht="14.65" thickBot="1" x14ac:dyDescent="0.5">
      <c r="A45" s="42"/>
      <c r="B45" s="42"/>
      <c r="C45" s="42"/>
      <c r="D45" s="42"/>
      <c r="E45" s="42"/>
      <c r="F45" s="42" t="s">
        <v>135</v>
      </c>
      <c r="G45" s="42"/>
      <c r="H45" s="46">
        <v>0</v>
      </c>
      <c r="I45" s="46">
        <f>H45/8*4</f>
        <v>0</v>
      </c>
      <c r="J45" s="46">
        <f t="shared" si="0"/>
        <v>0</v>
      </c>
      <c r="K45" s="46"/>
      <c r="L45" s="46">
        <v>5625</v>
      </c>
      <c r="M45" s="46"/>
      <c r="N45" s="46">
        <v>5625</v>
      </c>
    </row>
    <row r="46" spans="1:16" x14ac:dyDescent="0.45">
      <c r="A46" s="42"/>
      <c r="B46" s="42"/>
      <c r="C46" s="42"/>
      <c r="D46" s="42"/>
      <c r="E46" s="42" t="s">
        <v>134</v>
      </c>
      <c r="F46" s="42"/>
      <c r="G46" s="42"/>
      <c r="H46" s="53">
        <f>SUM(H34:H45)</f>
        <v>189746.81</v>
      </c>
      <c r="I46" s="53">
        <f>SUM(I34:I45)</f>
        <v>100875.51999999999</v>
      </c>
      <c r="J46" s="53">
        <f>SUM(J34:J45)</f>
        <v>290622.33</v>
      </c>
      <c r="K46" s="46"/>
      <c r="L46" s="53">
        <f>SUM(L34:L45)</f>
        <v>310614</v>
      </c>
      <c r="M46" s="46"/>
      <c r="N46" s="53">
        <f>SUM(N34:N45)</f>
        <v>313898</v>
      </c>
      <c r="P46" s="51">
        <f>N46-J46</f>
        <v>23275.669999999984</v>
      </c>
    </row>
    <row r="47" spans="1:16" x14ac:dyDescent="0.45">
      <c r="A47" s="42"/>
      <c r="B47" s="42"/>
      <c r="C47" s="42"/>
      <c r="D47" s="42"/>
      <c r="E47" s="42" t="s">
        <v>133</v>
      </c>
      <c r="F47" s="42"/>
      <c r="G47" s="42"/>
      <c r="H47" s="46"/>
      <c r="I47" s="46"/>
      <c r="J47" s="46"/>
      <c r="K47" s="46"/>
      <c r="L47" s="46"/>
      <c r="M47" s="46"/>
      <c r="N47" s="46"/>
    </row>
    <row r="48" spans="1:16" x14ac:dyDescent="0.45">
      <c r="A48" s="42"/>
      <c r="B48" s="42"/>
      <c r="C48" s="42"/>
      <c r="D48" s="42"/>
      <c r="E48" s="42"/>
      <c r="F48" s="42" t="s">
        <v>132</v>
      </c>
      <c r="G48" s="42"/>
      <c r="H48" s="46">
        <v>6041.81</v>
      </c>
      <c r="I48" s="46">
        <f>847.13*4</f>
        <v>3388.52</v>
      </c>
      <c r="J48" s="46">
        <f t="shared" ref="J48:J53" si="1">I48+H48</f>
        <v>9430.33</v>
      </c>
      <c r="K48" s="46"/>
      <c r="L48" s="46">
        <v>10837</v>
      </c>
      <c r="M48" s="46"/>
      <c r="N48" s="46">
        <v>9600</v>
      </c>
    </row>
    <row r="49" spans="1:16" x14ac:dyDescent="0.45">
      <c r="A49" s="42"/>
      <c r="B49" s="42"/>
      <c r="C49" s="42"/>
      <c r="D49" s="42"/>
      <c r="E49" s="42"/>
      <c r="F49" s="42" t="s">
        <v>131</v>
      </c>
      <c r="G49" s="42"/>
      <c r="H49" s="46">
        <v>1162.5</v>
      </c>
      <c r="I49" s="46">
        <f>387.5*4</f>
        <v>1550</v>
      </c>
      <c r="J49" s="46">
        <f t="shared" si="1"/>
        <v>2712.5</v>
      </c>
      <c r="K49" s="46"/>
      <c r="L49" s="46">
        <v>4650</v>
      </c>
      <c r="M49" s="46"/>
      <c r="N49" s="46">
        <v>4770</v>
      </c>
    </row>
    <row r="50" spans="1:16" x14ac:dyDescent="0.45">
      <c r="A50" s="42"/>
      <c r="B50" s="42"/>
      <c r="C50" s="42"/>
      <c r="D50" s="42"/>
      <c r="E50" s="42"/>
      <c r="F50" s="42" t="s">
        <v>130</v>
      </c>
      <c r="G50" s="42"/>
      <c r="H50" s="46">
        <v>1991.65</v>
      </c>
      <c r="I50" s="46">
        <f>398.33*4</f>
        <v>1593.32</v>
      </c>
      <c r="J50" s="46">
        <f t="shared" si="1"/>
        <v>3584.9700000000003</v>
      </c>
      <c r="K50" s="46"/>
      <c r="L50" s="46">
        <v>4857</v>
      </c>
      <c r="M50" s="46"/>
      <c r="N50" s="46">
        <v>4900</v>
      </c>
    </row>
    <row r="51" spans="1:16" x14ac:dyDescent="0.45">
      <c r="A51" s="42"/>
      <c r="B51" s="42"/>
      <c r="C51" s="42"/>
      <c r="D51" s="42"/>
      <c r="E51" s="42"/>
      <c r="F51" s="42" t="s">
        <v>129</v>
      </c>
      <c r="G51" s="42"/>
      <c r="H51" s="46">
        <v>3233.44</v>
      </c>
      <c r="I51" s="46">
        <f>461.92*4</f>
        <v>1847.68</v>
      </c>
      <c r="J51" s="46">
        <f t="shared" si="1"/>
        <v>5081.12</v>
      </c>
      <c r="K51" s="46"/>
      <c r="L51" s="46">
        <v>5543</v>
      </c>
      <c r="M51" s="46"/>
      <c r="N51" s="46">
        <v>5850</v>
      </c>
    </row>
    <row r="52" spans="1:16" x14ac:dyDescent="0.45">
      <c r="A52" s="42"/>
      <c r="B52" s="42"/>
      <c r="C52" s="42"/>
      <c r="D52" s="42"/>
      <c r="E52" s="42"/>
      <c r="F52" s="42" t="s">
        <v>128</v>
      </c>
      <c r="G52" s="42"/>
      <c r="H52" s="46">
        <v>0</v>
      </c>
      <c r="I52" s="46">
        <f>H52/8*4</f>
        <v>0</v>
      </c>
      <c r="J52" s="46">
        <f t="shared" si="1"/>
        <v>0</v>
      </c>
      <c r="K52" s="46"/>
      <c r="L52" s="46">
        <v>0</v>
      </c>
      <c r="M52" s="46"/>
      <c r="N52" s="46">
        <v>1607</v>
      </c>
    </row>
    <row r="53" spans="1:16" ht="14.65" thickBot="1" x14ac:dyDescent="0.5">
      <c r="A53" s="42"/>
      <c r="B53" s="42"/>
      <c r="C53" s="42"/>
      <c r="D53" s="42"/>
      <c r="E53" s="42"/>
      <c r="F53" s="42" t="s">
        <v>127</v>
      </c>
      <c r="G53" s="42"/>
      <c r="H53" s="46">
        <v>0</v>
      </c>
      <c r="I53" s="46">
        <f>H53/8*4</f>
        <v>0</v>
      </c>
      <c r="J53" s="46">
        <f t="shared" si="1"/>
        <v>0</v>
      </c>
      <c r="K53" s="46"/>
      <c r="L53" s="46">
        <v>0</v>
      </c>
      <c r="M53" s="46"/>
      <c r="N53" s="46">
        <v>1477</v>
      </c>
    </row>
    <row r="54" spans="1:16" x14ac:dyDescent="0.45">
      <c r="A54" s="42"/>
      <c r="B54" s="42"/>
      <c r="C54" s="42"/>
      <c r="D54" s="42"/>
      <c r="E54" s="42" t="s">
        <v>126</v>
      </c>
      <c r="F54" s="42"/>
      <c r="G54" s="42"/>
      <c r="H54" s="53">
        <f>SUM(H48:H53)</f>
        <v>12429.400000000001</v>
      </c>
      <c r="I54" s="53">
        <f>SUM(I48:I53)</f>
        <v>8379.52</v>
      </c>
      <c r="J54" s="53">
        <f>SUM(J48:J53)</f>
        <v>20808.919999999998</v>
      </c>
      <c r="K54" s="46"/>
      <c r="L54" s="53">
        <f>SUM(L48:L53)</f>
        <v>25887</v>
      </c>
      <c r="M54" s="46"/>
      <c r="N54" s="53">
        <f>SUM(N48:N53)</f>
        <v>28204</v>
      </c>
      <c r="P54" s="51">
        <f>N54-J54</f>
        <v>7395.0800000000017</v>
      </c>
    </row>
    <row r="55" spans="1:16" x14ac:dyDescent="0.45">
      <c r="A55" s="42"/>
      <c r="B55" s="42"/>
      <c r="C55" s="42"/>
      <c r="D55" s="42"/>
      <c r="E55" s="42" t="s">
        <v>125</v>
      </c>
      <c r="F55" s="42"/>
      <c r="G55" s="42"/>
      <c r="H55" s="46"/>
      <c r="I55" s="46"/>
      <c r="J55" s="46"/>
      <c r="K55" s="46"/>
      <c r="L55" s="46"/>
      <c r="M55" s="46"/>
      <c r="N55" s="46"/>
    </row>
    <row r="56" spans="1:16" x14ac:dyDescent="0.45">
      <c r="A56" s="42"/>
      <c r="B56" s="42"/>
      <c r="C56" s="42"/>
      <c r="D56" s="42"/>
      <c r="E56" s="42"/>
      <c r="F56" s="42" t="s">
        <v>124</v>
      </c>
      <c r="G56" s="42"/>
      <c r="H56" s="46">
        <v>180.02</v>
      </c>
      <c r="I56" s="46">
        <v>0</v>
      </c>
      <c r="J56" s="46">
        <f>I56+H56</f>
        <v>180.02</v>
      </c>
      <c r="K56" s="46"/>
      <c r="L56" s="46">
        <v>1182</v>
      </c>
      <c r="M56" s="46"/>
      <c r="N56" s="46">
        <v>0</v>
      </c>
    </row>
    <row r="57" spans="1:16" x14ac:dyDescent="0.45">
      <c r="A57" s="42"/>
      <c r="B57" s="42"/>
      <c r="C57" s="42"/>
      <c r="D57" s="42"/>
      <c r="E57" s="42"/>
      <c r="F57" s="42" t="s">
        <v>123</v>
      </c>
      <c r="G57" s="42"/>
      <c r="H57" s="46">
        <v>0</v>
      </c>
      <c r="I57" s="46">
        <f>H57/8*4</f>
        <v>0</v>
      </c>
      <c r="J57" s="46">
        <f>I57+H57</f>
        <v>0</v>
      </c>
      <c r="K57" s="46"/>
      <c r="L57" s="46">
        <v>9575</v>
      </c>
      <c r="M57" s="46"/>
      <c r="N57" s="46">
        <v>0</v>
      </c>
    </row>
    <row r="58" spans="1:16" ht="14.65" thickBot="1" x14ac:dyDescent="0.5">
      <c r="A58" s="42"/>
      <c r="B58" s="42"/>
      <c r="C58" s="42"/>
      <c r="D58" s="42"/>
      <c r="F58" s="42" t="s">
        <v>122</v>
      </c>
      <c r="G58" s="42"/>
      <c r="H58" s="46">
        <v>800.04</v>
      </c>
      <c r="I58" s="46">
        <f>H58*9</f>
        <v>7200.36</v>
      </c>
      <c r="J58" s="46">
        <f>I58+H58</f>
        <v>8000.4</v>
      </c>
      <c r="K58" s="46"/>
      <c r="L58" s="46">
        <v>16237</v>
      </c>
      <c r="M58" s="46"/>
      <c r="N58" s="46">
        <f>(12242*0.1)+12242</f>
        <v>13466.2</v>
      </c>
      <c r="O58" t="s">
        <v>121</v>
      </c>
    </row>
    <row r="59" spans="1:16" x14ac:dyDescent="0.45">
      <c r="A59" s="42"/>
      <c r="B59" s="42"/>
      <c r="C59" s="42"/>
      <c r="D59" s="42"/>
      <c r="E59" s="42" t="s">
        <v>120</v>
      </c>
      <c r="F59" s="42"/>
      <c r="G59" s="42"/>
      <c r="H59" s="53">
        <f>SUM(H56:H58)</f>
        <v>980.06</v>
      </c>
      <c r="I59" s="53">
        <f>SUM(I56:I58)</f>
        <v>7200.36</v>
      </c>
      <c r="J59" s="53">
        <f>SUM(J56:J58)</f>
        <v>8180.42</v>
      </c>
      <c r="K59" s="46"/>
      <c r="L59" s="53">
        <f>SUM(L56:L58)</f>
        <v>26994</v>
      </c>
      <c r="M59" s="46"/>
      <c r="N59" s="53">
        <f>SUM(N56:N58)</f>
        <v>13466.2</v>
      </c>
      <c r="P59" s="51">
        <f>N59-J59</f>
        <v>5285.7800000000007</v>
      </c>
    </row>
    <row r="60" spans="1:16" x14ac:dyDescent="0.45">
      <c r="A60" s="42"/>
      <c r="B60" s="42"/>
      <c r="C60" s="42"/>
      <c r="D60" s="42"/>
      <c r="E60" s="42" t="s">
        <v>119</v>
      </c>
      <c r="F60" s="42"/>
      <c r="G60" s="42"/>
      <c r="H60" s="46"/>
      <c r="I60" s="46"/>
      <c r="J60" s="46"/>
      <c r="K60" s="46"/>
      <c r="L60" s="46"/>
      <c r="M60" s="46"/>
      <c r="N60" s="46"/>
    </row>
    <row r="61" spans="1:16" x14ac:dyDescent="0.45">
      <c r="A61" s="42"/>
      <c r="B61" s="42"/>
      <c r="C61" s="42"/>
      <c r="D61" s="42"/>
      <c r="E61" s="42"/>
      <c r="F61" s="42" t="s">
        <v>118</v>
      </c>
      <c r="G61" s="42"/>
      <c r="H61" s="46">
        <v>2257.9899999999998</v>
      </c>
      <c r="I61" s="46">
        <f>H61/8*4</f>
        <v>1128.9949999999999</v>
      </c>
      <c r="J61" s="46">
        <f>I61+H61</f>
        <v>3386.9849999999997</v>
      </c>
      <c r="K61" s="46"/>
      <c r="L61" s="46">
        <v>9853</v>
      </c>
      <c r="M61" s="46"/>
      <c r="N61" s="46">
        <v>9600</v>
      </c>
    </row>
    <row r="62" spans="1:16" x14ac:dyDescent="0.45">
      <c r="A62" s="42"/>
      <c r="B62" s="42"/>
      <c r="C62" s="42"/>
      <c r="D62" s="42"/>
      <c r="E62" s="42"/>
      <c r="F62" s="42" t="s">
        <v>117</v>
      </c>
      <c r="G62" s="42"/>
      <c r="H62" s="46">
        <v>640.48</v>
      </c>
      <c r="I62" s="46">
        <f>H62/8*4</f>
        <v>320.24</v>
      </c>
      <c r="J62" s="46">
        <f>I62+H62</f>
        <v>960.72</v>
      </c>
      <c r="K62" s="46"/>
      <c r="L62" s="46">
        <v>2325</v>
      </c>
      <c r="M62" s="46"/>
      <c r="N62" s="46">
        <v>2500</v>
      </c>
    </row>
    <row r="63" spans="1:16" x14ac:dyDescent="0.45">
      <c r="A63" s="42"/>
      <c r="B63" s="42"/>
      <c r="C63" s="42"/>
      <c r="D63" s="42"/>
      <c r="E63" s="42"/>
      <c r="F63" s="42" t="s">
        <v>116</v>
      </c>
      <c r="G63" s="42"/>
      <c r="H63" s="46">
        <v>100</v>
      </c>
      <c r="I63" s="46">
        <f>H63/8*4</f>
        <v>50</v>
      </c>
      <c r="J63" s="46">
        <f>I63+H63</f>
        <v>150</v>
      </c>
      <c r="K63" s="46"/>
      <c r="L63" s="46">
        <v>391</v>
      </c>
      <c r="M63" s="46"/>
      <c r="N63" s="46">
        <v>2000</v>
      </c>
    </row>
    <row r="64" spans="1:16" ht="14.65" thickBot="1" x14ac:dyDescent="0.5">
      <c r="A64" s="42"/>
      <c r="B64" s="42"/>
      <c r="C64" s="42"/>
      <c r="D64" s="42"/>
      <c r="E64" s="42"/>
      <c r="F64" s="42" t="s">
        <v>115</v>
      </c>
      <c r="G64" s="42"/>
      <c r="H64" s="46">
        <v>0</v>
      </c>
      <c r="I64" s="46">
        <f>H64/8*4</f>
        <v>0</v>
      </c>
      <c r="J64" s="46">
        <f>I64+H64</f>
        <v>0</v>
      </c>
      <c r="K64" s="46"/>
      <c r="L64" s="46">
        <v>2771</v>
      </c>
      <c r="M64" s="46"/>
      <c r="N64" s="46">
        <v>3000</v>
      </c>
    </row>
    <row r="65" spans="1:16" x14ac:dyDescent="0.45">
      <c r="A65" s="42"/>
      <c r="B65" s="42"/>
      <c r="C65" s="42"/>
      <c r="D65" s="42"/>
      <c r="E65" s="42" t="s">
        <v>114</v>
      </c>
      <c r="F65" s="42"/>
      <c r="G65" s="42"/>
      <c r="H65" s="53">
        <f>SUM(H61:H64)</f>
        <v>2998.47</v>
      </c>
      <c r="I65" s="53">
        <f>SUM(I61:I64)</f>
        <v>1499.2349999999999</v>
      </c>
      <c r="J65" s="53">
        <f>SUM(J61:J64)</f>
        <v>4497.7049999999999</v>
      </c>
      <c r="K65" s="46"/>
      <c r="L65" s="53">
        <f>SUM(L61:L64)</f>
        <v>15340</v>
      </c>
      <c r="M65" s="46"/>
      <c r="N65" s="53">
        <f>SUM(N61:N64)</f>
        <v>17100</v>
      </c>
      <c r="P65" s="51">
        <f t="shared" ref="P65:P70" si="2">N65-J65</f>
        <v>12602.295</v>
      </c>
    </row>
    <row r="66" spans="1:16" x14ac:dyDescent="0.45">
      <c r="A66" s="42"/>
      <c r="B66" s="42"/>
      <c r="C66" s="42"/>
      <c r="D66" s="42"/>
      <c r="E66" s="42" t="s">
        <v>113</v>
      </c>
      <c r="F66" s="42"/>
      <c r="G66" s="42"/>
      <c r="H66" s="46">
        <v>8935.91</v>
      </c>
      <c r="I66" s="46">
        <f>(SUM(I37:I45)+I74)*0.0765</f>
        <v>5358.7821599999988</v>
      </c>
      <c r="J66" s="46">
        <f>I66+H66</f>
        <v>14294.692159999999</v>
      </c>
      <c r="K66" s="46"/>
      <c r="L66" s="46">
        <v>11513</v>
      </c>
      <c r="M66" s="46"/>
      <c r="N66" s="52">
        <v>16000</v>
      </c>
      <c r="P66" s="51">
        <f t="shared" si="2"/>
        <v>1705.3078400000013</v>
      </c>
    </row>
    <row r="67" spans="1:16" x14ac:dyDescent="0.45">
      <c r="A67" s="42"/>
      <c r="B67" s="42"/>
      <c r="C67" s="42"/>
      <c r="D67" s="42"/>
      <c r="E67" s="42" t="s">
        <v>112</v>
      </c>
      <c r="F67" s="42"/>
      <c r="G67" s="42"/>
      <c r="H67" s="46">
        <v>204.75</v>
      </c>
      <c r="I67" s="46">
        <f>H67/8*4</f>
        <v>102.375</v>
      </c>
      <c r="J67" s="46">
        <f>I67+H67</f>
        <v>307.125</v>
      </c>
      <c r="K67" s="46"/>
      <c r="L67" s="46">
        <v>452</v>
      </c>
      <c r="M67" s="46"/>
      <c r="N67" s="46">
        <v>452</v>
      </c>
      <c r="P67" s="51">
        <f t="shared" si="2"/>
        <v>144.875</v>
      </c>
    </row>
    <row r="68" spans="1:16" x14ac:dyDescent="0.45">
      <c r="A68" s="42"/>
      <c r="B68" s="42"/>
      <c r="C68" s="42"/>
      <c r="D68" s="42"/>
      <c r="E68" s="42" t="s">
        <v>111</v>
      </c>
      <c r="F68" s="42"/>
      <c r="G68" s="42"/>
      <c r="H68" s="46">
        <v>175.1</v>
      </c>
      <c r="I68" s="46">
        <f>H68/8*4</f>
        <v>87.55</v>
      </c>
      <c r="J68" s="46">
        <f>I68+H68</f>
        <v>262.64999999999998</v>
      </c>
      <c r="K68" s="46"/>
      <c r="L68" s="46">
        <v>0</v>
      </c>
      <c r="M68" s="46"/>
      <c r="N68" s="46">
        <v>0</v>
      </c>
      <c r="P68" s="51">
        <f t="shared" si="2"/>
        <v>-262.64999999999998</v>
      </c>
    </row>
    <row r="69" spans="1:16" x14ac:dyDescent="0.45">
      <c r="A69" s="42"/>
      <c r="B69" s="42"/>
      <c r="C69" s="42"/>
      <c r="D69" s="42"/>
      <c r="E69" s="42" t="s">
        <v>110</v>
      </c>
      <c r="F69" s="42"/>
      <c r="G69" s="42"/>
      <c r="H69" s="46">
        <v>0</v>
      </c>
      <c r="I69" s="46">
        <f>H69/8*4</f>
        <v>0</v>
      </c>
      <c r="J69" s="46">
        <f>I69+H69</f>
        <v>0</v>
      </c>
      <c r="K69" s="46"/>
      <c r="L69" s="46">
        <v>0</v>
      </c>
      <c r="M69" s="46"/>
      <c r="N69" s="46">
        <v>19762</v>
      </c>
      <c r="P69" s="51">
        <f t="shared" si="2"/>
        <v>19762</v>
      </c>
    </row>
    <row r="70" spans="1:16" ht="14.65" thickBot="1" x14ac:dyDescent="0.5">
      <c r="A70" s="42"/>
      <c r="B70" s="42"/>
      <c r="C70" s="42"/>
      <c r="D70" s="42"/>
      <c r="E70" s="42" t="s">
        <v>109</v>
      </c>
      <c r="F70" s="42"/>
      <c r="G70" s="42"/>
      <c r="H70" s="46">
        <v>1516.37</v>
      </c>
      <c r="I70" s="46">
        <f>H70/8*4</f>
        <v>758.18499999999995</v>
      </c>
      <c r="J70" s="46">
        <f>I70+H70</f>
        <v>2274.5549999999998</v>
      </c>
      <c r="K70" s="46"/>
      <c r="L70" s="46">
        <v>3052</v>
      </c>
      <c r="M70" s="46"/>
      <c r="N70" s="46">
        <v>3052</v>
      </c>
      <c r="P70" s="51">
        <f t="shared" si="2"/>
        <v>777.44500000000016</v>
      </c>
    </row>
    <row r="71" spans="1:16" s="43" customFormat="1" x14ac:dyDescent="0.45">
      <c r="A71" s="42"/>
      <c r="B71" s="42"/>
      <c r="C71" s="42"/>
      <c r="D71" s="42" t="s">
        <v>108</v>
      </c>
      <c r="E71" s="42"/>
      <c r="F71" s="42"/>
      <c r="G71" s="42"/>
      <c r="H71" s="45">
        <f>H46+H54+H59+H65+H66+H67+H70+H68+H69</f>
        <v>216986.87</v>
      </c>
      <c r="I71" s="45">
        <f>I46+I54+I59+I65+I66+I67+I70+I68+I69</f>
        <v>124261.52716</v>
      </c>
      <c r="J71" s="45">
        <f>J46+J54+J59+J65+J66+J67+J70+J68+J69</f>
        <v>341248.39715999999</v>
      </c>
      <c r="K71" s="41"/>
      <c r="L71" s="45">
        <f>L46+L54+L59+L65+L66+L67+L70+L68+L69</f>
        <v>393852</v>
      </c>
      <c r="M71" s="41"/>
      <c r="N71" s="45">
        <f>N46+N54+N59+N65+N66+N67+N70+N68+N69</f>
        <v>411934.2</v>
      </c>
    </row>
    <row r="72" spans="1:16" x14ac:dyDescent="0.45">
      <c r="A72" s="42"/>
      <c r="B72" s="42"/>
      <c r="C72" s="42"/>
      <c r="D72" s="42" t="s">
        <v>107</v>
      </c>
      <c r="E72" s="42"/>
      <c r="F72" s="42"/>
      <c r="G72" s="42"/>
      <c r="H72" s="46"/>
      <c r="I72" s="46"/>
      <c r="J72" s="46"/>
      <c r="K72" s="46"/>
      <c r="L72" s="46"/>
      <c r="M72" s="46"/>
      <c r="N72" s="46"/>
    </row>
    <row r="73" spans="1:16" x14ac:dyDescent="0.45">
      <c r="A73" s="42"/>
      <c r="B73" s="42"/>
      <c r="C73" s="42"/>
      <c r="D73" s="42"/>
      <c r="E73" s="42" t="s">
        <v>106</v>
      </c>
      <c r="F73" s="42"/>
      <c r="G73" s="42"/>
      <c r="H73" s="46">
        <v>2834.67</v>
      </c>
      <c r="I73" s="46">
        <f>H73/8*4</f>
        <v>1417.335</v>
      </c>
      <c r="J73" s="46">
        <f t="shared" ref="J73:J78" si="3">I73+H73</f>
        <v>4252.0050000000001</v>
      </c>
      <c r="K73" s="46"/>
      <c r="L73" s="46">
        <v>6390</v>
      </c>
      <c r="M73" s="46"/>
      <c r="N73" s="46">
        <v>6390</v>
      </c>
    </row>
    <row r="74" spans="1:16" x14ac:dyDescent="0.45">
      <c r="A74" s="42"/>
      <c r="B74" s="42"/>
      <c r="C74" s="42"/>
      <c r="D74" s="42"/>
      <c r="E74" s="42" t="s">
        <v>105</v>
      </c>
      <c r="F74" s="42"/>
      <c r="G74" s="42"/>
      <c r="H74" s="46">
        <v>10668.84</v>
      </c>
      <c r="I74" s="46">
        <f>10*19.12*16</f>
        <v>3059.2000000000003</v>
      </c>
      <c r="J74" s="46">
        <f t="shared" si="3"/>
        <v>13728.04</v>
      </c>
      <c r="K74" s="46"/>
      <c r="L74" s="46">
        <v>11000</v>
      </c>
      <c r="M74" s="46"/>
      <c r="N74" s="46">
        <v>18000</v>
      </c>
      <c r="O74" t="s">
        <v>104</v>
      </c>
    </row>
    <row r="75" spans="1:16" x14ac:dyDescent="0.45">
      <c r="A75" s="42"/>
      <c r="B75" s="42"/>
      <c r="C75" s="42"/>
      <c r="D75" s="42"/>
      <c r="E75" s="42" t="s">
        <v>103</v>
      </c>
      <c r="F75" s="42"/>
      <c r="G75" s="42"/>
      <c r="H75" s="46">
        <v>1438.75</v>
      </c>
      <c r="I75" s="46">
        <f>H75/8*4</f>
        <v>719.375</v>
      </c>
      <c r="J75" s="46">
        <f t="shared" si="3"/>
        <v>2158.125</v>
      </c>
      <c r="K75" s="46"/>
      <c r="L75" s="46">
        <v>2074</v>
      </c>
      <c r="M75" s="46"/>
      <c r="N75" s="46">
        <v>2074</v>
      </c>
    </row>
    <row r="76" spans="1:16" x14ac:dyDescent="0.45">
      <c r="A76" s="42"/>
      <c r="B76" s="42"/>
      <c r="C76" s="42"/>
      <c r="D76" s="42"/>
      <c r="E76" s="42" t="s">
        <v>102</v>
      </c>
      <c r="F76" s="42"/>
      <c r="G76" s="42"/>
      <c r="H76" s="46">
        <v>590</v>
      </c>
      <c r="I76" s="46">
        <f>H76/8*4</f>
        <v>295</v>
      </c>
      <c r="J76" s="46">
        <f t="shared" si="3"/>
        <v>885</v>
      </c>
      <c r="K76" s="46"/>
      <c r="L76" s="46">
        <v>2100</v>
      </c>
      <c r="M76" s="46"/>
      <c r="N76" s="46">
        <v>2100</v>
      </c>
    </row>
    <row r="77" spans="1:16" x14ac:dyDescent="0.45">
      <c r="A77" s="42"/>
      <c r="B77" s="42"/>
      <c r="C77" s="42"/>
      <c r="D77" s="42"/>
      <c r="E77" s="42" t="s">
        <v>101</v>
      </c>
      <c r="F77" s="42"/>
      <c r="G77" s="42"/>
      <c r="H77" s="46">
        <v>4438.8999999999996</v>
      </c>
      <c r="I77" s="46">
        <f>H77/8*4</f>
        <v>2219.4499999999998</v>
      </c>
      <c r="J77" s="46">
        <f t="shared" si="3"/>
        <v>6658.3499999999995</v>
      </c>
      <c r="K77" s="46"/>
      <c r="L77" s="46">
        <v>6420</v>
      </c>
      <c r="M77" s="46"/>
      <c r="N77" s="46">
        <v>6420</v>
      </c>
    </row>
    <row r="78" spans="1:16" x14ac:dyDescent="0.45">
      <c r="A78" s="42"/>
      <c r="B78" s="42"/>
      <c r="C78" s="42"/>
      <c r="D78" s="42"/>
      <c r="E78" s="42" t="s">
        <v>100</v>
      </c>
      <c r="F78" s="42"/>
      <c r="G78" s="42"/>
      <c r="H78" s="46">
        <v>1605.51</v>
      </c>
      <c r="I78" s="46">
        <f>H78/8*4</f>
        <v>802.755</v>
      </c>
      <c r="J78" s="46">
        <f t="shared" si="3"/>
        <v>2408.2649999999999</v>
      </c>
      <c r="K78" s="46"/>
      <c r="L78" s="46">
        <v>7788</v>
      </c>
      <c r="M78" s="46"/>
      <c r="N78" s="50">
        <v>30000</v>
      </c>
      <c r="O78" t="s">
        <v>99</v>
      </c>
    </row>
    <row r="79" spans="1:16" x14ac:dyDescent="0.45">
      <c r="A79" s="42"/>
      <c r="B79" s="42"/>
      <c r="C79" s="42"/>
      <c r="D79" s="42"/>
      <c r="E79" s="42" t="s">
        <v>98</v>
      </c>
      <c r="F79" s="42"/>
      <c r="G79" s="42"/>
      <c r="H79" s="46"/>
      <c r="I79" s="46"/>
      <c r="J79" s="46"/>
      <c r="K79" s="46"/>
      <c r="L79" s="46"/>
      <c r="M79" s="46"/>
      <c r="N79" s="46"/>
    </row>
    <row r="80" spans="1:16" x14ac:dyDescent="0.45">
      <c r="A80" s="42"/>
      <c r="B80" s="42"/>
      <c r="C80" s="42"/>
      <c r="D80" s="42"/>
      <c r="E80" s="42"/>
      <c r="F80" s="42" t="s">
        <v>97</v>
      </c>
      <c r="G80" s="42"/>
      <c r="H80" s="46">
        <v>7795</v>
      </c>
      <c r="I80" s="46">
        <f>H80/8*4</f>
        <v>3897.5</v>
      </c>
      <c r="J80" s="46">
        <f>I80+H80</f>
        <v>11692.5</v>
      </c>
      <c r="K80" s="46"/>
      <c r="L80" s="46">
        <v>10398</v>
      </c>
      <c r="M80" s="46"/>
      <c r="N80" s="46">
        <v>10398</v>
      </c>
    </row>
    <row r="81" spans="1:15" x14ac:dyDescent="0.45">
      <c r="A81" s="42"/>
      <c r="B81" s="42"/>
      <c r="C81" s="42"/>
      <c r="D81" s="42"/>
      <c r="E81" s="42"/>
      <c r="F81" s="42" t="s">
        <v>96</v>
      </c>
      <c r="G81" s="42"/>
      <c r="H81" s="46">
        <v>7239</v>
      </c>
      <c r="I81" s="46">
        <f>H81/8*4</f>
        <v>3619.5</v>
      </c>
      <c r="J81" s="46">
        <f>I81+H81</f>
        <v>10858.5</v>
      </c>
      <c r="K81" s="46"/>
      <c r="L81" s="46">
        <v>13155</v>
      </c>
      <c r="M81" s="46"/>
      <c r="N81" s="46">
        <v>13155</v>
      </c>
    </row>
    <row r="82" spans="1:15" x14ac:dyDescent="0.45">
      <c r="A82" s="42"/>
      <c r="B82" s="42"/>
      <c r="C82" s="42"/>
      <c r="D82" s="42"/>
      <c r="E82" s="42"/>
      <c r="F82" s="42" t="s">
        <v>95</v>
      </c>
      <c r="G82" s="42"/>
      <c r="H82" s="46">
        <v>2285.64</v>
      </c>
      <c r="I82" s="46">
        <f>H82/8*4</f>
        <v>1142.82</v>
      </c>
      <c r="J82" s="46">
        <f>I82+H82</f>
        <v>3428.46</v>
      </c>
      <c r="K82" s="46"/>
      <c r="L82" s="46">
        <v>3926</v>
      </c>
      <c r="M82" s="46"/>
      <c r="N82" s="46">
        <v>4286</v>
      </c>
    </row>
    <row r="83" spans="1:15" x14ac:dyDescent="0.45">
      <c r="A83" s="42"/>
      <c r="B83" s="42"/>
      <c r="C83" s="42"/>
      <c r="D83" s="42"/>
      <c r="E83" s="42"/>
      <c r="F83" s="42" t="s">
        <v>94</v>
      </c>
      <c r="G83" s="42"/>
      <c r="H83" s="46">
        <v>2999.12</v>
      </c>
      <c r="I83" s="46">
        <f>H83/8*4</f>
        <v>1499.56</v>
      </c>
      <c r="J83" s="46">
        <f>I83+H83</f>
        <v>4498.68</v>
      </c>
      <c r="K83" s="46"/>
      <c r="L83" s="46">
        <v>4474</v>
      </c>
      <c r="M83" s="46"/>
      <c r="N83" s="46">
        <v>4474</v>
      </c>
    </row>
    <row r="84" spans="1:15" ht="14.65" thickBot="1" x14ac:dyDescent="0.5">
      <c r="A84" s="42"/>
      <c r="B84" s="42"/>
      <c r="C84" s="42"/>
      <c r="D84" s="42"/>
      <c r="E84" s="42"/>
      <c r="F84" s="42" t="s">
        <v>93</v>
      </c>
      <c r="G84" s="42"/>
      <c r="H84" s="49">
        <v>5268.32</v>
      </c>
      <c r="I84" s="49">
        <f>H84/8*4</f>
        <v>2634.16</v>
      </c>
      <c r="J84" s="49">
        <f>I84+H84</f>
        <v>7902.48</v>
      </c>
      <c r="K84" s="46"/>
      <c r="L84" s="49">
        <v>4910</v>
      </c>
      <c r="M84" s="46"/>
      <c r="N84" s="49">
        <v>4910</v>
      </c>
    </row>
    <row r="85" spans="1:15" ht="14.65" thickBot="1" x14ac:dyDescent="0.5">
      <c r="A85" s="42"/>
      <c r="B85" s="42"/>
      <c r="C85" s="42"/>
      <c r="D85" s="42"/>
      <c r="E85" s="42" t="s">
        <v>92</v>
      </c>
      <c r="F85" s="42"/>
      <c r="G85" s="42"/>
      <c r="H85" s="49">
        <f>SUM(H80:H84)</f>
        <v>25587.079999999998</v>
      </c>
      <c r="I85" s="49">
        <f>SUM(I80:I84)</f>
        <v>12793.539999999999</v>
      </c>
      <c r="J85" s="49">
        <f>SUM(J80:J84)</f>
        <v>38380.619999999995</v>
      </c>
      <c r="K85" s="46"/>
      <c r="L85" s="49">
        <f>SUM(L80:L84)</f>
        <v>36863</v>
      </c>
      <c r="M85" s="46"/>
      <c r="N85" s="49">
        <f>SUM(N80:N84)</f>
        <v>37223</v>
      </c>
    </row>
    <row r="86" spans="1:15" s="43" customFormat="1" x14ac:dyDescent="0.45">
      <c r="A86" s="42"/>
      <c r="B86" s="42"/>
      <c r="C86" s="42"/>
      <c r="D86" s="42" t="s">
        <v>91</v>
      </c>
      <c r="E86" s="42"/>
      <c r="F86" s="42"/>
      <c r="G86" s="42"/>
      <c r="H86" s="41">
        <f>SUM(H72:H79)+H85</f>
        <v>47163.75</v>
      </c>
      <c r="I86" s="41">
        <f>SUM(I72:I79)+I85</f>
        <v>21306.654999999999</v>
      </c>
      <c r="J86" s="41">
        <f>SUM(J72:J79)+J85</f>
        <v>68470.404999999999</v>
      </c>
      <c r="K86" s="41"/>
      <c r="L86" s="41">
        <f>SUM(L72:L79)+L85</f>
        <v>72635</v>
      </c>
      <c r="M86" s="41"/>
      <c r="N86" s="41">
        <f>SUM(N72:N79)+N85</f>
        <v>102207</v>
      </c>
    </row>
    <row r="87" spans="1:15" x14ac:dyDescent="0.45">
      <c r="A87" s="42"/>
      <c r="B87" s="42"/>
      <c r="C87" s="42"/>
      <c r="D87" s="42" t="s">
        <v>90</v>
      </c>
      <c r="E87" s="42"/>
      <c r="F87" s="42"/>
      <c r="G87" s="42"/>
      <c r="H87" s="46"/>
      <c r="I87" s="46"/>
      <c r="J87" s="46"/>
      <c r="K87" s="46"/>
      <c r="L87" s="46"/>
      <c r="M87" s="46"/>
      <c r="N87" s="46"/>
    </row>
    <row r="88" spans="1:15" x14ac:dyDescent="0.45">
      <c r="A88" s="42"/>
      <c r="B88" s="42"/>
      <c r="C88" s="42"/>
      <c r="D88" s="42"/>
      <c r="E88" s="42" t="s">
        <v>89</v>
      </c>
      <c r="F88" s="42"/>
      <c r="G88" s="42"/>
      <c r="H88" s="46">
        <f>174.56+40.15</f>
        <v>214.71</v>
      </c>
      <c r="I88" s="46">
        <f t="shared" ref="I88:I94" si="4">H88/8*4</f>
        <v>107.355</v>
      </c>
      <c r="J88" s="46">
        <f t="shared" ref="J88:J94" si="5">I88+H88</f>
        <v>322.065</v>
      </c>
      <c r="K88" s="46"/>
      <c r="L88" s="46">
        <v>1836</v>
      </c>
      <c r="M88" s="46"/>
      <c r="N88" s="46">
        <v>1836</v>
      </c>
    </row>
    <row r="89" spans="1:15" x14ac:dyDescent="0.45">
      <c r="A89" s="42"/>
      <c r="B89" s="42"/>
      <c r="C89" s="42"/>
      <c r="D89" s="42"/>
      <c r="E89" s="42" t="s">
        <v>88</v>
      </c>
      <c r="F89" s="42"/>
      <c r="G89" s="42"/>
      <c r="H89" s="46">
        <v>7857.68</v>
      </c>
      <c r="I89" s="46">
        <f t="shared" si="4"/>
        <v>3928.84</v>
      </c>
      <c r="J89" s="46">
        <f t="shared" si="5"/>
        <v>11786.52</v>
      </c>
      <c r="K89" s="46"/>
      <c r="L89" s="46">
        <v>9180</v>
      </c>
      <c r="M89" s="46"/>
      <c r="N89" s="46">
        <v>9180</v>
      </c>
      <c r="O89" t="s">
        <v>87</v>
      </c>
    </row>
    <row r="90" spans="1:15" x14ac:dyDescent="0.45">
      <c r="A90" s="42"/>
      <c r="B90" s="42"/>
      <c r="C90" s="42"/>
      <c r="D90" s="42"/>
      <c r="E90" s="42" t="s">
        <v>86</v>
      </c>
      <c r="F90" s="42"/>
      <c r="G90" s="42"/>
      <c r="H90" s="46">
        <v>1247.46</v>
      </c>
      <c r="I90" s="46">
        <f t="shared" si="4"/>
        <v>623.73</v>
      </c>
      <c r="J90" s="46">
        <f t="shared" si="5"/>
        <v>1871.19</v>
      </c>
      <c r="K90" s="46"/>
      <c r="L90" s="46">
        <v>1938</v>
      </c>
      <c r="M90" s="46"/>
      <c r="N90" s="46">
        <v>1938</v>
      </c>
    </row>
    <row r="91" spans="1:15" x14ac:dyDescent="0.45">
      <c r="A91" s="42"/>
      <c r="B91" s="42"/>
      <c r="C91" s="42"/>
      <c r="D91" s="42"/>
      <c r="E91" s="42" t="s">
        <v>85</v>
      </c>
      <c r="F91" s="42"/>
      <c r="G91" s="42"/>
      <c r="H91" s="46">
        <v>0</v>
      </c>
      <c r="I91" s="46">
        <f t="shared" si="4"/>
        <v>0</v>
      </c>
      <c r="J91" s="46">
        <f t="shared" si="5"/>
        <v>0</v>
      </c>
      <c r="K91" s="46"/>
      <c r="L91" s="46">
        <v>1632</v>
      </c>
      <c r="M91" s="46"/>
      <c r="N91" s="46">
        <v>1632</v>
      </c>
    </row>
    <row r="92" spans="1:15" x14ac:dyDescent="0.45">
      <c r="A92" s="42"/>
      <c r="B92" s="42"/>
      <c r="C92" s="42"/>
      <c r="D92" s="42"/>
      <c r="E92" s="42" t="s">
        <v>84</v>
      </c>
      <c r="F92" s="42"/>
      <c r="G92" s="42"/>
      <c r="H92" s="46">
        <v>5200</v>
      </c>
      <c r="I92" s="46">
        <f t="shared" si="4"/>
        <v>2600</v>
      </c>
      <c r="J92" s="46">
        <f t="shared" si="5"/>
        <v>7800</v>
      </c>
      <c r="K92" s="46"/>
      <c r="L92" s="46">
        <v>7956</v>
      </c>
      <c r="M92" s="46"/>
      <c r="N92" s="46">
        <v>7956</v>
      </c>
    </row>
    <row r="93" spans="1:15" x14ac:dyDescent="0.45">
      <c r="A93" s="42"/>
      <c r="B93" s="42"/>
      <c r="C93" s="42"/>
      <c r="D93" s="42"/>
      <c r="E93" s="42" t="s">
        <v>83</v>
      </c>
      <c r="F93" s="42"/>
      <c r="G93" s="42"/>
      <c r="H93" s="46">
        <v>1238.07</v>
      </c>
      <c r="I93" s="46">
        <f t="shared" si="4"/>
        <v>619.03499999999997</v>
      </c>
      <c r="J93" s="46">
        <f t="shared" si="5"/>
        <v>1857.105</v>
      </c>
      <c r="K93" s="46"/>
      <c r="L93" s="46">
        <v>1875</v>
      </c>
      <c r="M93" s="46"/>
      <c r="N93" s="46">
        <v>1875</v>
      </c>
    </row>
    <row r="94" spans="1:15" ht="14.65" thickBot="1" x14ac:dyDescent="0.5">
      <c r="A94" s="42"/>
      <c r="B94" s="42"/>
      <c r="C94" s="42"/>
      <c r="D94" s="42"/>
      <c r="E94" s="42" t="s">
        <v>82</v>
      </c>
      <c r="F94" s="42"/>
      <c r="G94" s="42"/>
      <c r="H94" s="46">
        <v>39.299999999999997</v>
      </c>
      <c r="I94" s="46">
        <f t="shared" si="4"/>
        <v>19.649999999999999</v>
      </c>
      <c r="J94" s="46">
        <f t="shared" si="5"/>
        <v>58.949999999999996</v>
      </c>
      <c r="K94" s="46"/>
      <c r="L94" s="46">
        <v>122</v>
      </c>
      <c r="M94" s="46"/>
      <c r="N94" s="46">
        <v>122</v>
      </c>
    </row>
    <row r="95" spans="1:15" s="43" customFormat="1" x14ac:dyDescent="0.45">
      <c r="A95" s="42"/>
      <c r="B95" s="42"/>
      <c r="C95" s="42"/>
      <c r="D95" s="42" t="s">
        <v>81</v>
      </c>
      <c r="E95" s="42"/>
      <c r="F95" s="42"/>
      <c r="G95" s="42"/>
      <c r="H95" s="45">
        <f>SUM(H88:H94)</f>
        <v>15797.22</v>
      </c>
      <c r="I95" s="45">
        <f>SUM(I88:I94)</f>
        <v>7898.61</v>
      </c>
      <c r="J95" s="45">
        <f>SUM(J88:J94)</f>
        <v>23695.83</v>
      </c>
      <c r="K95" s="41"/>
      <c r="L95" s="45">
        <f>SUM(L88:L94)</f>
        <v>24539</v>
      </c>
      <c r="M95" s="41"/>
      <c r="N95" s="45">
        <f>SUM(N88:N94)</f>
        <v>24539</v>
      </c>
    </row>
    <row r="96" spans="1:15" s="43" customFormat="1" x14ac:dyDescent="0.45">
      <c r="A96" s="42"/>
      <c r="B96" s="42"/>
      <c r="C96" s="42"/>
      <c r="D96" s="42" t="s">
        <v>80</v>
      </c>
      <c r="F96" s="42"/>
      <c r="G96" s="42"/>
      <c r="H96" s="41">
        <v>13120</v>
      </c>
      <c r="I96" s="41">
        <f>H96/8*4</f>
        <v>6560</v>
      </c>
      <c r="J96" s="41">
        <v>26177</v>
      </c>
      <c r="K96" s="41"/>
      <c r="L96" s="41">
        <v>26177</v>
      </c>
      <c r="M96" s="41"/>
      <c r="N96" s="48">
        <v>34903</v>
      </c>
      <c r="O96" s="43" t="s">
        <v>79</v>
      </c>
    </row>
    <row r="97" spans="1:15" x14ac:dyDescent="0.45">
      <c r="A97" s="42"/>
      <c r="B97" s="42"/>
      <c r="C97" s="42"/>
      <c r="D97" s="42" t="s">
        <v>78</v>
      </c>
      <c r="E97" s="42"/>
      <c r="F97" s="42"/>
      <c r="G97" s="42"/>
      <c r="H97" s="46"/>
      <c r="I97" s="46"/>
      <c r="J97" s="46"/>
      <c r="K97" s="46"/>
      <c r="L97" s="46"/>
      <c r="M97" s="46"/>
      <c r="N97" s="46"/>
    </row>
    <row r="98" spans="1:15" x14ac:dyDescent="0.45">
      <c r="A98" s="42"/>
      <c r="B98" s="42"/>
      <c r="C98" s="42"/>
      <c r="D98" s="42"/>
      <c r="E98" s="42" t="s">
        <v>77</v>
      </c>
      <c r="F98" s="42"/>
      <c r="G98" s="42"/>
      <c r="H98" s="46">
        <v>520.59</v>
      </c>
      <c r="I98" s="46">
        <f>H98/8*4</f>
        <v>260.29500000000002</v>
      </c>
      <c r="J98" s="46">
        <f>I98+H98</f>
        <v>780.88499999999999</v>
      </c>
      <c r="K98" s="46"/>
      <c r="L98" s="46">
        <v>500</v>
      </c>
      <c r="M98" s="46"/>
      <c r="N98" s="46">
        <v>4050</v>
      </c>
    </row>
    <row r="99" spans="1:15" x14ac:dyDescent="0.45">
      <c r="A99" s="42"/>
      <c r="B99" s="42"/>
      <c r="C99" s="42"/>
      <c r="D99" s="42"/>
      <c r="E99" s="42" t="s">
        <v>76</v>
      </c>
      <c r="F99" s="42"/>
      <c r="G99" s="42"/>
      <c r="H99" s="46">
        <v>1482.65</v>
      </c>
      <c r="I99" s="46">
        <f>H99/8*4</f>
        <v>741.32500000000005</v>
      </c>
      <c r="J99" s="46">
        <f>I99+H99</f>
        <v>2223.9750000000004</v>
      </c>
      <c r="K99" s="46"/>
      <c r="L99" s="46">
        <v>2000</v>
      </c>
      <c r="M99" s="46"/>
      <c r="N99" s="46">
        <v>7650</v>
      </c>
    </row>
    <row r="100" spans="1:15" x14ac:dyDescent="0.45">
      <c r="A100" s="42"/>
      <c r="B100" s="42"/>
      <c r="C100" s="42"/>
      <c r="D100" s="42"/>
      <c r="E100" s="42" t="s">
        <v>75</v>
      </c>
      <c r="F100" s="42"/>
      <c r="G100" s="42"/>
      <c r="H100" s="46">
        <v>1659.65</v>
      </c>
      <c r="I100" s="46">
        <f>H100/8*4</f>
        <v>829.82500000000005</v>
      </c>
      <c r="J100" s="46">
        <f>I100+H100</f>
        <v>2489.4750000000004</v>
      </c>
      <c r="K100" s="46"/>
      <c r="L100" s="46">
        <v>14908</v>
      </c>
      <c r="M100" s="46"/>
      <c r="N100" s="46">
        <v>3384.5</v>
      </c>
    </row>
    <row r="101" spans="1:15" x14ac:dyDescent="0.45">
      <c r="A101" s="42"/>
      <c r="B101" s="42"/>
      <c r="C101" s="42"/>
      <c r="D101" s="42"/>
      <c r="E101" s="42" t="s">
        <v>74</v>
      </c>
      <c r="F101" s="42"/>
      <c r="G101" s="42"/>
      <c r="H101" s="46"/>
      <c r="I101" s="46"/>
      <c r="J101" s="46"/>
      <c r="K101" s="46"/>
      <c r="L101" s="46"/>
      <c r="M101" s="46"/>
      <c r="N101" s="46"/>
    </row>
    <row r="102" spans="1:15" x14ac:dyDescent="0.45">
      <c r="A102" s="42"/>
      <c r="B102" s="42"/>
      <c r="C102" s="42"/>
      <c r="D102" s="42"/>
      <c r="E102" s="42"/>
      <c r="F102" s="42" t="s">
        <v>73</v>
      </c>
      <c r="G102" s="42"/>
      <c r="H102" s="46">
        <v>35</v>
      </c>
      <c r="I102" s="46">
        <f>H102/8*4</f>
        <v>17.5</v>
      </c>
      <c r="J102" s="46">
        <f>I102+H102</f>
        <v>52.5</v>
      </c>
      <c r="K102" s="46"/>
      <c r="L102" s="46">
        <v>5841</v>
      </c>
      <c r="M102" s="46"/>
      <c r="N102" s="46">
        <v>5841</v>
      </c>
    </row>
    <row r="103" spans="1:15" x14ac:dyDescent="0.45">
      <c r="A103" s="42"/>
      <c r="B103" s="42"/>
      <c r="C103" s="42"/>
      <c r="D103" s="42"/>
      <c r="E103" s="42"/>
      <c r="F103" s="42" t="s">
        <v>72</v>
      </c>
      <c r="G103" s="42"/>
      <c r="H103" s="46">
        <v>-60</v>
      </c>
      <c r="I103" s="46">
        <f>H103/8*4</f>
        <v>-30</v>
      </c>
      <c r="J103" s="46">
        <f>I103+H103</f>
        <v>-90</v>
      </c>
      <c r="K103" s="46"/>
      <c r="L103" s="46">
        <v>0</v>
      </c>
      <c r="M103" s="46"/>
      <c r="N103" s="46">
        <v>0</v>
      </c>
    </row>
    <row r="104" spans="1:15" x14ac:dyDescent="0.45">
      <c r="A104" s="42"/>
      <c r="B104" s="42"/>
      <c r="C104" s="42"/>
      <c r="D104" s="42"/>
      <c r="E104" s="42"/>
      <c r="F104" s="42" t="s">
        <v>71</v>
      </c>
      <c r="G104" s="42"/>
      <c r="H104" s="46">
        <v>0</v>
      </c>
      <c r="I104" s="46">
        <f>H104/8*4</f>
        <v>0</v>
      </c>
      <c r="J104" s="47">
        <v>750</v>
      </c>
      <c r="K104" s="46"/>
      <c r="L104" s="46">
        <v>750</v>
      </c>
      <c r="M104" s="46"/>
      <c r="N104" s="46">
        <v>750</v>
      </c>
    </row>
    <row r="105" spans="1:15" ht="14.65" thickBot="1" x14ac:dyDescent="0.5">
      <c r="A105" s="42"/>
      <c r="B105" s="42"/>
      <c r="C105" s="42"/>
      <c r="D105" s="42"/>
      <c r="E105" s="42"/>
      <c r="F105" s="42" t="s">
        <v>70</v>
      </c>
      <c r="G105" s="42"/>
      <c r="H105" s="46">
        <v>0</v>
      </c>
      <c r="I105" s="46">
        <f>H105/8*4</f>
        <v>0</v>
      </c>
      <c r="J105" s="47">
        <v>3750</v>
      </c>
      <c r="K105" s="46"/>
      <c r="L105" s="46">
        <v>3750</v>
      </c>
      <c r="M105" s="46"/>
      <c r="N105" s="46">
        <v>3750</v>
      </c>
    </row>
    <row r="106" spans="1:15" s="43" customFormat="1" x14ac:dyDescent="0.45">
      <c r="A106" s="42"/>
      <c r="B106" s="42"/>
      <c r="C106" s="42"/>
      <c r="D106" s="42"/>
      <c r="E106" s="42" t="s">
        <v>69</v>
      </c>
      <c r="F106" s="42"/>
      <c r="G106" s="42"/>
      <c r="H106" s="45">
        <f>SUM(H102:H105)</f>
        <v>-25</v>
      </c>
      <c r="I106" s="45">
        <f>SUM(I102:I105)</f>
        <v>-12.5</v>
      </c>
      <c r="J106" s="45">
        <f>SUM(J102:J105)</f>
        <v>4462.5</v>
      </c>
      <c r="K106" s="41"/>
      <c r="L106" s="45">
        <f>SUM(L102:L105)</f>
        <v>10341</v>
      </c>
      <c r="M106" s="41"/>
      <c r="N106" s="45">
        <f>SUM(N102:N105)</f>
        <v>10341</v>
      </c>
      <c r="O106" s="41"/>
    </row>
    <row r="107" spans="1:15" x14ac:dyDescent="0.45">
      <c r="A107" s="42"/>
      <c r="B107" s="42"/>
      <c r="C107" s="42"/>
      <c r="D107" s="42"/>
      <c r="E107" s="42" t="s">
        <v>68</v>
      </c>
      <c r="F107" s="42"/>
      <c r="G107" s="42"/>
      <c r="H107" s="46"/>
      <c r="I107" s="46"/>
      <c r="J107" s="46"/>
      <c r="K107" s="46"/>
      <c r="L107" s="46"/>
      <c r="M107" s="46"/>
      <c r="N107" s="46"/>
      <c r="O107" s="46"/>
    </row>
    <row r="108" spans="1:15" x14ac:dyDescent="0.45">
      <c r="A108" s="42"/>
      <c r="B108" s="42"/>
      <c r="C108" s="42"/>
      <c r="D108" s="42"/>
      <c r="E108" s="42"/>
      <c r="F108" s="42" t="s">
        <v>67</v>
      </c>
      <c r="G108" s="42"/>
      <c r="H108" s="46">
        <v>0</v>
      </c>
      <c r="I108" s="46">
        <f t="shared" ref="I108:I118" si="6">H108/8*4</f>
        <v>0</v>
      </c>
      <c r="J108" s="46">
        <f t="shared" ref="J108:J118" si="7">I108+H108</f>
        <v>0</v>
      </c>
      <c r="K108" s="46"/>
      <c r="L108" s="46">
        <v>0</v>
      </c>
      <c r="M108" s="46"/>
      <c r="N108" s="46">
        <v>2000</v>
      </c>
      <c r="O108" s="46"/>
    </row>
    <row r="109" spans="1:15" x14ac:dyDescent="0.45">
      <c r="A109" s="42"/>
      <c r="B109" s="42"/>
      <c r="C109" s="42"/>
      <c r="D109" s="42"/>
      <c r="E109" s="42"/>
      <c r="F109" s="42" t="s">
        <v>66</v>
      </c>
      <c r="G109" s="42"/>
      <c r="H109" s="46">
        <v>0</v>
      </c>
      <c r="I109" s="46">
        <f t="shared" si="6"/>
        <v>0</v>
      </c>
      <c r="J109" s="46">
        <f t="shared" si="7"/>
        <v>0</v>
      </c>
      <c r="K109" s="46"/>
      <c r="L109" s="46">
        <v>0</v>
      </c>
      <c r="M109" s="46"/>
      <c r="N109" s="46">
        <v>100</v>
      </c>
      <c r="O109" s="46"/>
    </row>
    <row r="110" spans="1:15" x14ac:dyDescent="0.45">
      <c r="A110" s="42"/>
      <c r="B110" s="42"/>
      <c r="C110" s="42"/>
      <c r="D110" s="42"/>
      <c r="E110" s="42"/>
      <c r="F110" s="42" t="s">
        <v>65</v>
      </c>
      <c r="G110" s="42"/>
      <c r="H110" s="46">
        <v>0</v>
      </c>
      <c r="I110" s="46">
        <f t="shared" si="6"/>
        <v>0</v>
      </c>
      <c r="J110" s="46">
        <f t="shared" si="7"/>
        <v>0</v>
      </c>
      <c r="K110" s="46"/>
      <c r="L110" s="46">
        <v>0</v>
      </c>
      <c r="M110" s="46"/>
      <c r="N110" s="46">
        <v>250</v>
      </c>
      <c r="O110" s="46"/>
    </row>
    <row r="111" spans="1:15" x14ac:dyDescent="0.45">
      <c r="A111" s="42"/>
      <c r="B111" s="42"/>
      <c r="C111" s="42"/>
      <c r="D111" s="42"/>
      <c r="E111" s="42"/>
      <c r="F111" s="42" t="s">
        <v>64</v>
      </c>
      <c r="G111" s="42"/>
      <c r="H111" s="46">
        <v>0</v>
      </c>
      <c r="I111" s="46">
        <f t="shared" si="6"/>
        <v>0</v>
      </c>
      <c r="J111" s="46">
        <f t="shared" si="7"/>
        <v>0</v>
      </c>
      <c r="K111" s="46"/>
      <c r="L111" s="46">
        <v>0</v>
      </c>
      <c r="M111" s="46"/>
      <c r="N111" s="46">
        <v>0</v>
      </c>
      <c r="O111" s="46"/>
    </row>
    <row r="112" spans="1:15" x14ac:dyDescent="0.45">
      <c r="A112" s="42"/>
      <c r="B112" s="42"/>
      <c r="C112" s="42"/>
      <c r="D112" s="42"/>
      <c r="E112" s="42"/>
      <c r="F112" s="42" t="s">
        <v>63</v>
      </c>
      <c r="G112" s="42"/>
      <c r="H112" s="46">
        <v>0</v>
      </c>
      <c r="I112" s="46">
        <f t="shared" si="6"/>
        <v>0</v>
      </c>
      <c r="J112" s="46">
        <f t="shared" si="7"/>
        <v>0</v>
      </c>
      <c r="K112" s="46"/>
      <c r="L112" s="46">
        <v>0</v>
      </c>
      <c r="M112" s="46"/>
      <c r="N112" s="46">
        <v>0</v>
      </c>
      <c r="O112" s="46"/>
    </row>
    <row r="113" spans="1:15" x14ac:dyDescent="0.45">
      <c r="A113" s="42"/>
      <c r="B113" s="42"/>
      <c r="C113" s="42"/>
      <c r="D113" s="42"/>
      <c r="E113" s="42"/>
      <c r="F113" s="42" t="s">
        <v>62</v>
      </c>
      <c r="G113" s="42"/>
      <c r="H113" s="46">
        <v>0</v>
      </c>
      <c r="I113" s="46">
        <f t="shared" si="6"/>
        <v>0</v>
      </c>
      <c r="J113" s="46">
        <f t="shared" si="7"/>
        <v>0</v>
      </c>
      <c r="K113" s="46"/>
      <c r="L113" s="46">
        <v>0</v>
      </c>
      <c r="M113" s="46"/>
      <c r="N113" s="46">
        <v>400</v>
      </c>
      <c r="O113" s="46"/>
    </row>
    <row r="114" spans="1:15" x14ac:dyDescent="0.45">
      <c r="A114" s="42"/>
      <c r="B114" s="42"/>
      <c r="C114" s="42"/>
      <c r="D114" s="42"/>
      <c r="E114" s="42"/>
      <c r="F114" s="42" t="s">
        <v>61</v>
      </c>
      <c r="G114" s="42"/>
      <c r="H114" s="46">
        <v>0</v>
      </c>
      <c r="I114" s="46">
        <f t="shared" si="6"/>
        <v>0</v>
      </c>
      <c r="J114" s="46">
        <f t="shared" si="7"/>
        <v>0</v>
      </c>
      <c r="K114" s="46"/>
      <c r="L114" s="46">
        <v>0</v>
      </c>
      <c r="M114" s="46"/>
      <c r="N114" s="46">
        <v>200</v>
      </c>
      <c r="O114" s="46"/>
    </row>
    <row r="115" spans="1:15" x14ac:dyDescent="0.45">
      <c r="A115" s="42"/>
      <c r="B115" s="42"/>
      <c r="C115" s="42"/>
      <c r="D115" s="42"/>
      <c r="E115" s="42"/>
      <c r="F115" s="42" t="s">
        <v>60</v>
      </c>
      <c r="G115" s="42"/>
      <c r="H115" s="46">
        <v>0</v>
      </c>
      <c r="I115" s="46">
        <f t="shared" si="6"/>
        <v>0</v>
      </c>
      <c r="J115" s="46">
        <f t="shared" si="7"/>
        <v>0</v>
      </c>
      <c r="K115" s="46"/>
      <c r="L115" s="46">
        <v>0</v>
      </c>
      <c r="M115" s="46"/>
      <c r="N115" s="46">
        <v>700</v>
      </c>
      <c r="O115" s="46"/>
    </row>
    <row r="116" spans="1:15" x14ac:dyDescent="0.45">
      <c r="A116" s="42"/>
      <c r="B116" s="42"/>
      <c r="C116" s="42"/>
      <c r="D116" s="42"/>
      <c r="E116" s="42"/>
      <c r="F116" s="42" t="s">
        <v>59</v>
      </c>
      <c r="G116" s="42"/>
      <c r="H116" s="46">
        <v>0</v>
      </c>
      <c r="I116" s="46">
        <f t="shared" si="6"/>
        <v>0</v>
      </c>
      <c r="J116" s="46">
        <f t="shared" si="7"/>
        <v>0</v>
      </c>
      <c r="K116" s="46"/>
      <c r="L116" s="46">
        <v>0</v>
      </c>
      <c r="M116" s="46"/>
      <c r="N116" s="46">
        <v>0</v>
      </c>
      <c r="O116" s="46"/>
    </row>
    <row r="117" spans="1:15" x14ac:dyDescent="0.45">
      <c r="A117" s="42"/>
      <c r="B117" s="42"/>
      <c r="C117" s="42"/>
      <c r="D117" s="42"/>
      <c r="E117" s="42"/>
      <c r="F117" s="42" t="s">
        <v>58</v>
      </c>
      <c r="G117" s="42"/>
      <c r="H117" s="46">
        <v>0</v>
      </c>
      <c r="I117" s="46">
        <f t="shared" si="6"/>
        <v>0</v>
      </c>
      <c r="J117" s="46">
        <f t="shared" si="7"/>
        <v>0</v>
      </c>
      <c r="K117" s="46"/>
      <c r="L117" s="46">
        <v>0</v>
      </c>
      <c r="M117" s="46"/>
      <c r="N117" s="46">
        <v>200</v>
      </c>
      <c r="O117" s="46"/>
    </row>
    <row r="118" spans="1:15" ht="14.65" thickBot="1" x14ac:dyDescent="0.5">
      <c r="A118" s="42"/>
      <c r="B118" s="42"/>
      <c r="C118" s="42"/>
      <c r="D118" s="42"/>
      <c r="E118" s="42"/>
      <c r="F118" s="42" t="s">
        <v>57</v>
      </c>
      <c r="G118" s="42"/>
      <c r="H118" s="46">
        <v>701</v>
      </c>
      <c r="I118" s="46">
        <f t="shared" si="6"/>
        <v>350.5</v>
      </c>
      <c r="J118" s="46">
        <f t="shared" si="7"/>
        <v>1051.5</v>
      </c>
      <c r="K118" s="46"/>
      <c r="L118" s="46">
        <v>0</v>
      </c>
      <c r="M118" s="46"/>
      <c r="N118" s="46">
        <v>1000</v>
      </c>
      <c r="O118" s="46"/>
    </row>
    <row r="119" spans="1:15" s="43" customFormat="1" x14ac:dyDescent="0.45">
      <c r="A119" s="42"/>
      <c r="B119" s="42"/>
      <c r="C119" s="42"/>
      <c r="D119" s="42" t="s">
        <v>56</v>
      </c>
      <c r="E119" s="42"/>
      <c r="F119" s="42"/>
      <c r="G119" s="42"/>
      <c r="H119" s="45">
        <f>SUM(H98:H101)+H106+SUM(H107:H118)</f>
        <v>4338.8900000000003</v>
      </c>
      <c r="I119" s="45">
        <f>SUM(I98:I101)+I106+SUM(I107:I118)</f>
        <v>2169.4450000000002</v>
      </c>
      <c r="J119" s="45">
        <f>SUM(J98:J101)+J106+SUM(J107:J118)</f>
        <v>11008.335000000001</v>
      </c>
      <c r="K119" s="41"/>
      <c r="L119" s="45">
        <f>SUM(L98:L101)+L106+SUM(L107:L118)</f>
        <v>27749</v>
      </c>
      <c r="M119" s="41"/>
      <c r="N119" s="45">
        <f>SUM(N98:N101)+N106+SUM(N107:N118)</f>
        <v>30275.5</v>
      </c>
    </row>
    <row r="120" spans="1:15" s="43" customFormat="1" x14ac:dyDescent="0.45">
      <c r="A120" s="42"/>
      <c r="B120" s="42"/>
      <c r="C120" s="42"/>
      <c r="D120" s="42" t="s">
        <v>55</v>
      </c>
      <c r="E120" s="42"/>
      <c r="F120" s="42"/>
      <c r="G120" s="42"/>
      <c r="H120" s="41">
        <v>22092.5</v>
      </c>
      <c r="I120" s="41">
        <f>H120/8*4</f>
        <v>11046.25</v>
      </c>
      <c r="J120" s="41">
        <f>I120+H120</f>
        <v>33138.75</v>
      </c>
      <c r="K120" s="41"/>
      <c r="L120" s="41">
        <v>33270</v>
      </c>
      <c r="M120" s="41"/>
      <c r="N120" s="41">
        <v>33270</v>
      </c>
    </row>
    <row r="121" spans="1:15" s="43" customFormat="1" ht="14.65" thickBot="1" x14ac:dyDescent="0.5">
      <c r="A121" s="42"/>
      <c r="B121" s="42"/>
      <c r="C121" s="42"/>
      <c r="D121" s="42" t="s">
        <v>54</v>
      </c>
      <c r="E121" s="42"/>
      <c r="F121" s="42"/>
      <c r="G121" s="42"/>
      <c r="H121" s="41">
        <v>19559.82</v>
      </c>
      <c r="I121" s="41">
        <f>H121/8*4</f>
        <v>9779.91</v>
      </c>
      <c r="J121" s="41">
        <f>I121+H121</f>
        <v>29339.73</v>
      </c>
      <c r="K121" s="41"/>
      <c r="L121" s="41">
        <v>29210</v>
      </c>
      <c r="M121" s="41"/>
      <c r="N121" s="41">
        <v>29210</v>
      </c>
    </row>
    <row r="122" spans="1:15" s="43" customFormat="1" ht="14.65" thickBot="1" x14ac:dyDescent="0.5">
      <c r="A122" s="42"/>
      <c r="B122" s="42"/>
      <c r="C122" s="42" t="s">
        <v>53</v>
      </c>
      <c r="D122" s="42"/>
      <c r="E122" s="42"/>
      <c r="F122" s="42"/>
      <c r="G122" s="42"/>
      <c r="H122" s="44">
        <f>SUM(H121,H120,H119,H96,H95,H86,H71)</f>
        <v>339059.05</v>
      </c>
      <c r="I122" s="44">
        <f>SUM(I121,I120,I119,I96,I95,I86,I71)</f>
        <v>183022.39715999999</v>
      </c>
      <c r="J122" s="44">
        <f>SUM(J121,J120,J119,J96,J95,J86,J71)</f>
        <v>533078.44715999998</v>
      </c>
      <c r="K122" s="41"/>
      <c r="L122" s="44">
        <f>SUM(L121,L120,L119,L96,L95,L86,L71)</f>
        <v>607432</v>
      </c>
      <c r="M122" s="41"/>
      <c r="N122" s="44">
        <f>SUM(N121,N120,N119,N96,N95,N86,N71)</f>
        <v>666338.69999999995</v>
      </c>
    </row>
    <row r="123" spans="1:15" ht="14.65" thickBot="1" x14ac:dyDescent="0.5">
      <c r="A123" s="42" t="s">
        <v>52</v>
      </c>
      <c r="B123" s="42"/>
      <c r="C123" s="42"/>
      <c r="D123" s="42"/>
      <c r="E123" s="42"/>
      <c r="F123" s="42"/>
      <c r="G123" s="42"/>
      <c r="H123" s="40">
        <f>H29-H122</f>
        <v>126400.15999999997</v>
      </c>
      <c r="I123" s="40">
        <f>I29-I122</f>
        <v>-26836.397159999993</v>
      </c>
      <c r="J123" s="40">
        <f>J29-J122</f>
        <v>88566.762839999981</v>
      </c>
      <c r="K123" s="41"/>
      <c r="L123" s="40">
        <f>L29-L122</f>
        <v>-12734</v>
      </c>
      <c r="M123" s="41"/>
      <c r="N123" s="40">
        <f>N29-N122</f>
        <v>0.30000000004656613</v>
      </c>
    </row>
    <row r="124" spans="1:15" ht="14.65" thickTop="1" x14ac:dyDescent="0.45">
      <c r="J124">
        <v>91000</v>
      </c>
    </row>
    <row r="125" spans="1:15" x14ac:dyDescent="0.45">
      <c r="N125">
        <v>78062</v>
      </c>
      <c r="O125" t="s">
        <v>51</v>
      </c>
    </row>
    <row r="126" spans="1:15" x14ac:dyDescent="0.45">
      <c r="N126" s="39">
        <f>N123+N125</f>
        <v>78062.300000000047</v>
      </c>
      <c r="O126" t="s">
        <v>50</v>
      </c>
    </row>
  </sheetData>
  <printOptions horizontalCentered="1"/>
  <pageMargins left="0.25" right="0.25" top="0.75" bottom="0.75" header="0.3" footer="0.3"/>
  <pageSetup fitToHeight="0" orientation="portrait" r:id="rId1"/>
  <headerFooter>
    <oddFooter>Page &amp;P of &amp;N</oddFooter>
  </headerFooter>
  <rowBreaks count="2" manualBreakCount="2">
    <brk id="46" max="9" man="1"/>
    <brk id="86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19846-4BD0-4363-92C3-204668B2E48D}">
  <dimension ref="A1:F41"/>
  <sheetViews>
    <sheetView workbookViewId="0">
      <selection activeCell="C8" sqref="C8"/>
    </sheetView>
  </sheetViews>
  <sheetFormatPr defaultRowHeight="14.25" x14ac:dyDescent="0.45"/>
  <cols>
    <col min="2" max="2" width="28.1328125" bestFit="1" customWidth="1"/>
    <col min="3" max="3" width="10.1328125" bestFit="1" customWidth="1"/>
    <col min="4" max="5" width="12.1328125" bestFit="1" customWidth="1"/>
    <col min="6" max="6" width="9.53125" bestFit="1" customWidth="1"/>
    <col min="7" max="8" width="9.1328125" customWidth="1"/>
  </cols>
  <sheetData>
    <row r="1" spans="1:5" x14ac:dyDescent="0.45">
      <c r="A1" s="4"/>
      <c r="B1" s="2"/>
      <c r="C1" s="2"/>
      <c r="E1" s="5"/>
    </row>
    <row r="2" spans="1:5" x14ac:dyDescent="0.45">
      <c r="A2" s="2"/>
      <c r="B2" s="2"/>
      <c r="C2" s="2"/>
    </row>
    <row r="3" spans="1:5" x14ac:dyDescent="0.45">
      <c r="A3" s="2"/>
      <c r="B3" s="10" t="s">
        <v>46</v>
      </c>
      <c r="C3" s="2"/>
      <c r="E3" s="2"/>
    </row>
    <row r="4" spans="1:5" x14ac:dyDescent="0.45">
      <c r="A4" s="2"/>
      <c r="B4" s="2" t="s">
        <v>30</v>
      </c>
      <c r="C4" s="2"/>
      <c r="E4" s="2">
        <v>298588</v>
      </c>
    </row>
    <row r="5" spans="1:5" x14ac:dyDescent="0.45">
      <c r="A5" s="2"/>
      <c r="B5" s="2" t="s">
        <v>31</v>
      </c>
      <c r="C5" s="2"/>
      <c r="E5" s="2">
        <v>1956</v>
      </c>
    </row>
    <row r="6" spans="1:5" x14ac:dyDescent="0.45">
      <c r="B6" s="2" t="s">
        <v>36</v>
      </c>
      <c r="E6" s="2">
        <v>6005</v>
      </c>
    </row>
    <row r="7" spans="1:5" x14ac:dyDescent="0.45">
      <c r="B7" s="2" t="s">
        <v>32</v>
      </c>
      <c r="E7" s="2">
        <v>-8140</v>
      </c>
    </row>
    <row r="8" spans="1:5" x14ac:dyDescent="0.45">
      <c r="B8" s="2" t="s">
        <v>33</v>
      </c>
      <c r="E8" s="2">
        <v>-6427</v>
      </c>
    </row>
    <row r="9" spans="1:5" ht="14.65" thickBot="1" x14ac:dyDescent="0.5">
      <c r="B9" s="2"/>
      <c r="E9" s="3">
        <f>SUM(E3:E8)</f>
        <v>291982</v>
      </c>
    </row>
    <row r="10" spans="1:5" ht="14.65" thickTop="1" x14ac:dyDescent="0.45">
      <c r="B10" s="2"/>
      <c r="E10" s="2"/>
    </row>
    <row r="11" spans="1:5" x14ac:dyDescent="0.45">
      <c r="B11" s="2"/>
      <c r="E11" s="2"/>
    </row>
    <row r="12" spans="1:5" x14ac:dyDescent="0.45">
      <c r="B12" s="2" t="s">
        <v>34</v>
      </c>
      <c r="E12" s="2">
        <v>10023</v>
      </c>
    </row>
    <row r="13" spans="1:5" x14ac:dyDescent="0.45">
      <c r="B13" s="2" t="s">
        <v>35</v>
      </c>
      <c r="E13" s="2">
        <v>281980</v>
      </c>
    </row>
    <row r="14" spans="1:5" ht="14.65" thickBot="1" x14ac:dyDescent="0.5">
      <c r="B14" s="2"/>
      <c r="E14" s="3">
        <f>SUM(E12:E13)</f>
        <v>292003</v>
      </c>
    </row>
    <row r="15" spans="1:5" ht="14.65" thickTop="1" x14ac:dyDescent="0.45">
      <c r="B15" s="2"/>
      <c r="E15" s="2"/>
    </row>
    <row r="16" spans="1:5" x14ac:dyDescent="0.45">
      <c r="B16" t="s">
        <v>37</v>
      </c>
      <c r="E16" s="2">
        <f>E9-E14</f>
        <v>-21</v>
      </c>
    </row>
    <row r="17" spans="2:6" x14ac:dyDescent="0.45">
      <c r="E17" s="2"/>
    </row>
    <row r="18" spans="2:6" x14ac:dyDescent="0.45">
      <c r="D18" s="1"/>
      <c r="E18" s="1"/>
    </row>
    <row r="19" spans="2:6" x14ac:dyDescent="0.45">
      <c r="B19" t="s">
        <v>38</v>
      </c>
      <c r="C19">
        <v>2019</v>
      </c>
      <c r="D19" s="1">
        <v>161105.42000000001</v>
      </c>
      <c r="E19" s="1"/>
    </row>
    <row r="20" spans="2:6" x14ac:dyDescent="0.45">
      <c r="C20">
        <v>2020</v>
      </c>
      <c r="D20" s="1">
        <v>128553.96</v>
      </c>
      <c r="E20" s="1"/>
    </row>
    <row r="21" spans="2:6" x14ac:dyDescent="0.45">
      <c r="C21">
        <v>2021</v>
      </c>
      <c r="D21" s="8">
        <v>35912.49</v>
      </c>
      <c r="E21" s="1"/>
    </row>
    <row r="22" spans="2:6" x14ac:dyDescent="0.45">
      <c r="D22" s="1"/>
      <c r="E22" s="6">
        <f>SUM(D19:D21)</f>
        <v>325571.87</v>
      </c>
      <c r="F22" t="s">
        <v>43</v>
      </c>
    </row>
    <row r="23" spans="2:6" x14ac:dyDescent="0.45">
      <c r="D23" s="1"/>
      <c r="E23" s="6"/>
    </row>
    <row r="24" spans="2:6" x14ac:dyDescent="0.45">
      <c r="B24" t="s">
        <v>39</v>
      </c>
      <c r="C24" t="s">
        <v>40</v>
      </c>
      <c r="D24" s="1">
        <v>8140</v>
      </c>
      <c r="E24" s="6"/>
    </row>
    <row r="25" spans="2:6" x14ac:dyDescent="0.45">
      <c r="C25" t="s">
        <v>41</v>
      </c>
      <c r="D25" s="8">
        <v>6427</v>
      </c>
      <c r="E25" s="6"/>
    </row>
    <row r="26" spans="2:6" x14ac:dyDescent="0.45">
      <c r="D26" s="1"/>
      <c r="E26" s="6">
        <f>-SUM(D24:D25)</f>
        <v>-14567</v>
      </c>
    </row>
    <row r="27" spans="2:6" x14ac:dyDescent="0.45">
      <c r="E27" s="7"/>
    </row>
    <row r="28" spans="2:6" ht="14.65" thickBot="1" x14ac:dyDescent="0.5">
      <c r="B28" t="s">
        <v>42</v>
      </c>
      <c r="E28" s="9">
        <f>SUM(E21:E27)</f>
        <v>311004.87</v>
      </c>
    </row>
    <row r="29" spans="2:6" ht="14.65" thickTop="1" x14ac:dyDescent="0.45">
      <c r="E29" s="7"/>
    </row>
    <row r="34" spans="2:5" x14ac:dyDescent="0.45">
      <c r="B34" t="s">
        <v>44</v>
      </c>
      <c r="D34" s="1"/>
      <c r="E34" s="1">
        <f>E22</f>
        <v>325571.87</v>
      </c>
    </row>
    <row r="35" spans="2:5" x14ac:dyDescent="0.45">
      <c r="B35" t="s">
        <v>45</v>
      </c>
      <c r="D35" s="1"/>
      <c r="E35" s="8">
        <f>298558+6005</f>
        <v>304563</v>
      </c>
    </row>
    <row r="36" spans="2:5" x14ac:dyDescent="0.45">
      <c r="D36" s="1" t="s">
        <v>37</v>
      </c>
      <c r="E36" s="1">
        <f>E34-E35</f>
        <v>21008.869999999995</v>
      </c>
    </row>
    <row r="37" spans="2:5" x14ac:dyDescent="0.45">
      <c r="D37" s="1"/>
      <c r="E37" s="1"/>
    </row>
    <row r="38" spans="2:5" x14ac:dyDescent="0.45">
      <c r="D38" s="1"/>
      <c r="E38" s="1"/>
    </row>
    <row r="39" spans="2:5" x14ac:dyDescent="0.45">
      <c r="D39" s="1"/>
      <c r="E39" s="1"/>
    </row>
    <row r="40" spans="2:5" x14ac:dyDescent="0.45">
      <c r="D40" s="1"/>
      <c r="E40" s="1"/>
    </row>
    <row r="41" spans="2:5" x14ac:dyDescent="0.45">
      <c r="D41" s="1"/>
      <c r="E4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Cong Approved Budget</vt:lpstr>
      <vt:lpstr>2021-22 Budget 12 months</vt:lpstr>
      <vt:lpstr>Summary</vt:lpstr>
      <vt:lpstr>Pledge spread calcs</vt:lpstr>
      <vt:lpstr>4.22 budget</vt:lpstr>
      <vt:lpstr>Sheet2</vt:lpstr>
      <vt:lpstr>'2021-22 Budget 12 months'!Print_Area</vt:lpstr>
      <vt:lpstr>'4.22 budget'!Print_Area</vt:lpstr>
      <vt:lpstr>'Cong Approved Budget'!Print_Area</vt:lpstr>
      <vt:lpstr>'2021-22 Budget 12 months'!Print_Titles</vt:lpstr>
      <vt:lpstr>'4.22 budget'!Print_Titles</vt:lpstr>
      <vt:lpstr>'Cong Approved Budget'!Print_Titles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DeeAnne's Computer</dc:creator>
  <cp:lastModifiedBy>DeeAnne McClenahan</cp:lastModifiedBy>
  <cp:lastPrinted>2021-05-22T21:56:29Z</cp:lastPrinted>
  <dcterms:created xsi:type="dcterms:W3CDTF">2021-04-07T18:21:02Z</dcterms:created>
  <dcterms:modified xsi:type="dcterms:W3CDTF">2021-06-23T15:57:46Z</dcterms:modified>
</cp:coreProperties>
</file>